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10056"/>
  </bookViews>
  <sheets>
    <sheet name="Title sheet" sheetId="17" r:id="rId1"/>
    <sheet name="Practices captured_details" sheetId="1" r:id="rId2"/>
    <sheet name="Categories" sheetId="2" r:id="rId3"/>
    <sheet name="Reporting quality (table 2)" sheetId="7" r:id="rId4"/>
    <sheet name="Practices captured (fig S1)" sheetId="12" r:id="rId5"/>
    <sheet name="Estimates (table 1)" sheetId="11" r:id="rId6"/>
    <sheet name="Model validations (fig S2 S3)" sheetId="16" r:id="rId7"/>
    <sheet name="Cover_crops" sheetId="13" r:id="rId8"/>
    <sheet name="Afforestation potential" sheetId="15" r:id="rId9"/>
    <sheet name="SD_IEF_CLCL" sheetId="3" r:id="rId10"/>
    <sheet name="Area_CLCL" sheetId="6" r:id="rId11"/>
    <sheet name="SD_IEF_GLGL" sheetId="4" r:id="rId12"/>
    <sheet name="Area_GLGL" sheetId="8" r:id="rId13"/>
    <sheet name="SD_IEF_FLFL" sheetId="5" r:id="rId14"/>
    <sheet name="Area_FLFL" sheetId="9" r:id="rId15"/>
    <sheet name="Area_WLWL" sheetId="10" r:id="rId16"/>
    <sheet name="Area_CRFII" sheetId="14" r:id="rId17"/>
  </sheets>
  <externalReferences>
    <externalReference r:id="rId18"/>
  </externalReferences>
  <definedNames>
    <definedName name="_xlnm._FilterDatabase" localSheetId="1" hidden="1">'Practices captured_details'!$A$6:$Q$87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1" l="1"/>
  <c r="AB12" i="11" s="1"/>
  <c r="AC11" i="11"/>
  <c r="AC12" i="11" s="1"/>
  <c r="AC17" i="11"/>
  <c r="AB17" i="11"/>
  <c r="AC16" i="11"/>
  <c r="AB16" i="11"/>
  <c r="AC15" i="11"/>
  <c r="AB15" i="11"/>
  <c r="Z11" i="11"/>
  <c r="Z16" i="11"/>
  <c r="AA15" i="11"/>
  <c r="Y15" i="11"/>
  <c r="G3" i="15"/>
  <c r="C32"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 i="15"/>
  <c r="N2" i="15"/>
  <c r="B32" i="15"/>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3" i="15"/>
  <c r="F10" i="15" l="1"/>
  <c r="G10" i="15" s="1"/>
  <c r="F32" i="15"/>
  <c r="G32" i="15" s="1"/>
  <c r="F24" i="15"/>
  <c r="G24" i="15" s="1"/>
  <c r="F16" i="15"/>
  <c r="G16" i="15" s="1"/>
  <c r="F39" i="15"/>
  <c r="G39" i="15" s="1"/>
  <c r="F31" i="15"/>
  <c r="G31" i="15" s="1"/>
  <c r="F23" i="15"/>
  <c r="G23" i="15" s="1"/>
  <c r="F15" i="15"/>
  <c r="G15" i="15" s="1"/>
  <c r="F33" i="15"/>
  <c r="G33" i="15" s="1"/>
  <c r="F14" i="15"/>
  <c r="G14" i="15" s="1"/>
  <c r="F37" i="15"/>
  <c r="G37" i="15" s="1"/>
  <c r="F29" i="15"/>
  <c r="G29" i="15" s="1"/>
  <c r="F21" i="15"/>
  <c r="G21" i="15" s="1"/>
  <c r="F13" i="15"/>
  <c r="G13" i="15" s="1"/>
  <c r="F9" i="15"/>
  <c r="G9" i="15" s="1"/>
  <c r="F38" i="15"/>
  <c r="G38" i="15" s="1"/>
  <c r="F36" i="15"/>
  <c r="G36" i="15" s="1"/>
  <c r="F28" i="15"/>
  <c r="G28" i="15" s="1"/>
  <c r="F20" i="15"/>
  <c r="G20" i="15" s="1"/>
  <c r="F12" i="15"/>
  <c r="G12" i="15" s="1"/>
  <c r="F25" i="15"/>
  <c r="G25" i="15" s="1"/>
  <c r="F30" i="15"/>
  <c r="G30" i="15" s="1"/>
  <c r="F35" i="15"/>
  <c r="G35" i="15" s="1"/>
  <c r="F27" i="15"/>
  <c r="G27" i="15" s="1"/>
  <c r="F19" i="15"/>
  <c r="G19" i="15" s="1"/>
  <c r="F11" i="15"/>
  <c r="G11" i="15" s="1"/>
  <c r="F17" i="15"/>
  <c r="G17" i="15" s="1"/>
  <c r="F22" i="15"/>
  <c r="G22" i="15" s="1"/>
  <c r="F34" i="15"/>
  <c r="G34" i="15" s="1"/>
  <c r="F26" i="15"/>
  <c r="G26" i="15" s="1"/>
  <c r="F18" i="15"/>
  <c r="G18" i="15" s="1"/>
  <c r="T24" i="11"/>
  <c r="T23" i="11"/>
  <c r="AC9" i="11" l="1"/>
  <c r="AC10" i="11"/>
  <c r="AB9" i="11"/>
  <c r="AB10" i="11"/>
  <c r="X9" i="11"/>
  <c r="P10" i="11"/>
  <c r="O10" i="11"/>
  <c r="R10" i="11"/>
  <c r="O17" i="11"/>
  <c r="P17" i="11" s="1"/>
  <c r="X7" i="11" s="1"/>
  <c r="O9" i="11"/>
  <c r="P9" i="11" s="1"/>
  <c r="X8" i="11" s="1"/>
  <c r="N17" i="11"/>
  <c r="N10" i="11"/>
  <c r="N9" i="11"/>
  <c r="T11" i="7" l="1"/>
  <c r="C8" i="14"/>
  <c r="C9" i="14"/>
  <c r="C7" i="14"/>
  <c r="D9" i="14"/>
  <c r="D8" i="14"/>
  <c r="B7" i="14"/>
  <c r="D7" i="14"/>
  <c r="B9" i="14"/>
  <c r="B8" i="14"/>
  <c r="D10" i="11"/>
  <c r="D12" i="11"/>
  <c r="D14" i="11"/>
  <c r="D16" i="11"/>
  <c r="N6" i="7"/>
  <c r="O6" i="7"/>
  <c r="N7" i="7"/>
  <c r="O7" i="7"/>
  <c r="O5" i="7"/>
  <c r="N5" i="7"/>
  <c r="G7" i="7"/>
  <c r="G6" i="7"/>
  <c r="G5" i="7"/>
  <c r="E7" i="7"/>
  <c r="E6" i="7"/>
  <c r="E5" i="7"/>
  <c r="C6" i="7"/>
  <c r="P6" i="7" s="1"/>
  <c r="C7" i="7"/>
  <c r="P7" i="7" s="1"/>
  <c r="C5" i="7"/>
  <c r="P5" i="7" s="1"/>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9" i="5"/>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9" i="4"/>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9" i="3"/>
  <c r="AH57" i="5"/>
  <c r="AH56" i="5"/>
  <c r="AH55" i="5"/>
  <c r="AH54" i="5"/>
  <c r="AH53" i="5"/>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F11" i="5"/>
  <c r="AF10" i="5"/>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6" i="4"/>
  <c r="AF15" i="4"/>
  <c r="AF14" i="4"/>
  <c r="AF13" i="4"/>
  <c r="AF12" i="4"/>
  <c r="AF11" i="4"/>
  <c r="AF10" i="4"/>
  <c r="H8" i="13"/>
  <c r="F8" i="13"/>
  <c r="F6" i="13"/>
  <c r="B40" i="13"/>
  <c r="D40" i="13"/>
  <c r="B39" i="13"/>
  <c r="D39" i="13"/>
  <c r="B37" i="13"/>
  <c r="D37" i="13"/>
  <c r="B20" i="13"/>
  <c r="D20" i="13"/>
  <c r="F7" i="13"/>
  <c r="T10" i="11"/>
  <c r="Z9" i="11"/>
  <c r="F9" i="13"/>
  <c r="I8" i="13"/>
  <c r="Q17" i="11"/>
  <c r="AA10" i="11"/>
  <c r="Q9" i="11"/>
  <c r="R9" i="11"/>
  <c r="S9" i="11" s="1"/>
  <c r="Y8" i="11" s="1"/>
  <c r="AB8" i="11" s="1"/>
  <c r="H18" i="6"/>
  <c r="G6" i="13"/>
  <c r="G8" i="13"/>
  <c r="G7" i="13"/>
  <c r="T22" i="11"/>
  <c r="Q10" i="11"/>
  <c r="S10" i="11"/>
  <c r="Y9" i="11" s="1"/>
  <c r="T9" i="11"/>
  <c r="Z8" i="11"/>
  <c r="R17" i="11"/>
  <c r="S17" i="11" s="1"/>
  <c r="Y7" i="11" s="1"/>
  <c r="AC7" i="11" s="1"/>
  <c r="D28" i="11"/>
  <c r="D29" i="11"/>
  <c r="D27" i="11"/>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10" i="3"/>
  <c r="AI30" i="5"/>
  <c r="S26" i="1"/>
  <c r="S12" i="1"/>
  <c r="AI43" i="5"/>
  <c r="S46" i="1"/>
  <c r="AI9" i="5"/>
  <c r="AI36" i="5"/>
  <c r="S10" i="1"/>
  <c r="S8" i="1"/>
  <c r="AI23" i="3"/>
  <c r="B10" i="7"/>
  <c r="S62" i="1"/>
  <c r="AI46" i="3"/>
  <c r="I9" i="12"/>
  <c r="AI32" i="5"/>
  <c r="AI33" i="4"/>
  <c r="AI45" i="5"/>
  <c r="AI39" i="4"/>
  <c r="AI25" i="3"/>
  <c r="S24" i="1"/>
  <c r="I4" i="12"/>
  <c r="I10" i="12"/>
  <c r="D18" i="12"/>
  <c r="AI37" i="4"/>
  <c r="AI12" i="3"/>
  <c r="E14" i="12"/>
  <c r="R10" i="7"/>
  <c r="AI38" i="3"/>
  <c r="I7" i="12"/>
  <c r="S59" i="1"/>
  <c r="AI29" i="3"/>
  <c r="AI17" i="3"/>
  <c r="AI26" i="3"/>
  <c r="S81" i="1"/>
  <c r="AI38" i="4"/>
  <c r="I13" i="12"/>
  <c r="D14" i="12"/>
  <c r="F26" i="12"/>
  <c r="S40" i="1"/>
  <c r="B7" i="7"/>
  <c r="S73" i="1"/>
  <c r="S78" i="1"/>
  <c r="S69" i="1"/>
  <c r="S80" i="1"/>
  <c r="S36" i="1"/>
  <c r="AI13" i="3"/>
  <c r="S20" i="1"/>
  <c r="AI25" i="5"/>
  <c r="K3" i="12"/>
  <c r="AI10" i="4"/>
  <c r="S72" i="1"/>
  <c r="AI40" i="3"/>
  <c r="B5" i="7"/>
  <c r="AI21" i="5"/>
  <c r="AI52" i="4"/>
  <c r="AI32" i="3"/>
  <c r="AI51" i="3"/>
  <c r="AI25" i="4"/>
  <c r="D12" i="12"/>
  <c r="S29" i="1"/>
  <c r="AI29" i="4"/>
  <c r="S67" i="1"/>
  <c r="S42" i="1"/>
  <c r="E24" i="12"/>
  <c r="M3" i="12"/>
  <c r="S51" i="1"/>
  <c r="AI22" i="5"/>
  <c r="AI24" i="4"/>
  <c r="AI26" i="4"/>
  <c r="AI44" i="3"/>
  <c r="AI27" i="4"/>
  <c r="AI40" i="4"/>
  <c r="AI46" i="4"/>
  <c r="S9" i="1"/>
  <c r="S56" i="1"/>
  <c r="D16" i="12"/>
  <c r="S45" i="1"/>
  <c r="S61" i="1"/>
  <c r="D20" i="12"/>
  <c r="AI23" i="5"/>
  <c r="AI48" i="3"/>
  <c r="S43" i="1"/>
  <c r="S50" i="1"/>
  <c r="S82" i="1"/>
  <c r="D6" i="12"/>
  <c r="AI46" i="5"/>
  <c r="AI36" i="4"/>
  <c r="AI13" i="4"/>
  <c r="I14" i="12"/>
  <c r="AI35" i="5"/>
  <c r="AI21" i="3"/>
  <c r="AI56" i="5"/>
  <c r="S39" i="1"/>
  <c r="AI14" i="4"/>
  <c r="AI30" i="3"/>
  <c r="S37" i="1"/>
  <c r="I15" i="12"/>
  <c r="AI13" i="5"/>
  <c r="S35" i="1"/>
  <c r="AI24" i="3"/>
  <c r="AI20" i="5"/>
  <c r="R5" i="7"/>
  <c r="AI49" i="5"/>
  <c r="AI34" i="3"/>
  <c r="AI47" i="4"/>
  <c r="AI27" i="3"/>
  <c r="AI16" i="3"/>
  <c r="I12" i="12"/>
  <c r="F22" i="12"/>
  <c r="S68" i="1"/>
  <c r="AI18" i="5"/>
  <c r="AI47" i="5"/>
  <c r="S23" i="1"/>
  <c r="AI9" i="4"/>
  <c r="S22" i="1"/>
  <c r="I6" i="7"/>
  <c r="AI53" i="4"/>
  <c r="I5" i="7"/>
  <c r="AI50" i="3"/>
  <c r="AI35" i="3"/>
  <c r="F3" i="12"/>
  <c r="S76" i="1"/>
  <c r="S66" i="1"/>
  <c r="S60" i="1"/>
  <c r="AI11" i="4"/>
  <c r="S58" i="1"/>
  <c r="S55" i="1"/>
  <c r="E12" i="12"/>
  <c r="S21" i="1"/>
  <c r="AI22" i="4"/>
  <c r="AI43" i="4"/>
  <c r="AI35" i="4"/>
  <c r="I6" i="12"/>
  <c r="AI39" i="5"/>
  <c r="AI31" i="4"/>
  <c r="AI17" i="5"/>
  <c r="S18" i="1"/>
  <c r="S19" i="1"/>
  <c r="S13" i="1"/>
  <c r="AI16" i="4"/>
  <c r="S41" i="1"/>
  <c r="AI26" i="5"/>
  <c r="AI23" i="4"/>
  <c r="I3" i="12"/>
  <c r="AI15" i="4"/>
  <c r="AI19" i="3"/>
  <c r="AI57" i="5"/>
  <c r="AI28" i="3"/>
  <c r="S44" i="1"/>
  <c r="E10" i="12"/>
  <c r="AI28" i="4"/>
  <c r="S57" i="1"/>
  <c r="AI48" i="4"/>
  <c r="AI22" i="3"/>
  <c r="D24" i="12"/>
  <c r="I7" i="7"/>
  <c r="AI41" i="5"/>
  <c r="S32" i="1"/>
  <c r="AI32" i="4"/>
  <c r="S47" i="1"/>
  <c r="S52" i="1"/>
  <c r="S30" i="1"/>
  <c r="S63" i="1"/>
  <c r="S25" i="1"/>
  <c r="S70" i="1"/>
  <c r="AI54" i="4"/>
  <c r="S71" i="1"/>
  <c r="S27" i="1"/>
  <c r="I5" i="12"/>
  <c r="AI19" i="5"/>
  <c r="R7" i="7"/>
  <c r="AI42" i="3"/>
  <c r="D26" i="12"/>
  <c r="AI49" i="4"/>
  <c r="AI42" i="4"/>
  <c r="AI37" i="3"/>
  <c r="AI20" i="3"/>
  <c r="AI24" i="5"/>
  <c r="S75" i="1"/>
  <c r="AI33" i="5"/>
  <c r="AI52" i="5"/>
  <c r="AI38" i="5"/>
  <c r="S64" i="1"/>
  <c r="AI15" i="5"/>
  <c r="I11" i="12"/>
  <c r="S11" i="1"/>
  <c r="AI29" i="5"/>
  <c r="I8" i="12"/>
  <c r="AI18" i="3"/>
  <c r="AI10" i="5"/>
  <c r="AI45" i="3"/>
  <c r="AI41" i="3"/>
  <c r="AI50" i="4"/>
  <c r="AI43" i="3"/>
  <c r="S77" i="1"/>
  <c r="AI48" i="5"/>
  <c r="AI30" i="4"/>
  <c r="AI31" i="5"/>
  <c r="AI45" i="4"/>
  <c r="S14" i="1"/>
  <c r="B5" i="11"/>
  <c r="S53" i="1"/>
  <c r="F24" i="12"/>
  <c r="AI17" i="4"/>
  <c r="AI11" i="3"/>
  <c r="S33" i="1"/>
  <c r="AI55" i="3"/>
  <c r="S34" i="1"/>
  <c r="AI12" i="4"/>
  <c r="AI55" i="4"/>
  <c r="AI51" i="5"/>
  <c r="AI16" i="5"/>
  <c r="D10" i="12"/>
  <c r="AI47" i="3"/>
  <c r="AI37" i="5"/>
  <c r="AI31" i="3"/>
  <c r="N3" i="12"/>
  <c r="AI19" i="4"/>
  <c r="L3" i="12"/>
  <c r="AI33" i="3"/>
  <c r="AI44" i="4"/>
  <c r="AI40" i="5"/>
  <c r="AI21" i="4"/>
  <c r="S84" i="1"/>
  <c r="AI44" i="5"/>
  <c r="B6" i="7"/>
  <c r="E20" i="12"/>
  <c r="AI54" i="5"/>
  <c r="S49" i="1"/>
  <c r="E3" i="12"/>
  <c r="AI53" i="3"/>
  <c r="AI42" i="5"/>
  <c r="AI51" i="4"/>
  <c r="S16" i="1"/>
  <c r="AI12" i="5"/>
  <c r="S79" i="1"/>
  <c r="AI27" i="5"/>
  <c r="AI36" i="3"/>
  <c r="S48" i="1"/>
  <c r="B4" i="11"/>
  <c r="E26" i="12"/>
  <c r="D22" i="12"/>
  <c r="AI52" i="3"/>
  <c r="AI50" i="5"/>
  <c r="S15" i="1"/>
  <c r="AI57" i="4"/>
  <c r="S31" i="1"/>
  <c r="AI20" i="4"/>
  <c r="S38" i="1"/>
  <c r="AI39" i="3"/>
  <c r="E22" i="12"/>
  <c r="AI9" i="3"/>
  <c r="S65" i="1"/>
  <c r="D4" i="12"/>
  <c r="AI55" i="5"/>
  <c r="AI56" i="4"/>
  <c r="AI14" i="5"/>
  <c r="AI28" i="5"/>
  <c r="S28" i="1"/>
  <c r="D8" i="12"/>
  <c r="AI10" i="3"/>
  <c r="S83" i="1"/>
  <c r="S17" i="1"/>
  <c r="D3" i="12"/>
  <c r="AI57" i="3"/>
  <c r="AI11" i="5"/>
  <c r="R6" i="7"/>
  <c r="AI41" i="4"/>
  <c r="S74" i="1"/>
  <c r="AI54" i="3"/>
  <c r="AI56" i="3"/>
  <c r="AI34" i="4"/>
  <c r="AI15" i="3"/>
  <c r="AI18" i="4"/>
  <c r="B3" i="11"/>
  <c r="S54" i="1"/>
  <c r="AI34" i="5"/>
  <c r="AI14" i="3"/>
  <c r="J3" i="12"/>
  <c r="E23" i="12"/>
  <c r="E15" i="12"/>
  <c r="AI53" i="5"/>
  <c r="AI49" i="3"/>
  <c r="S7" i="1"/>
  <c r="D19" i="12"/>
  <c r="E25" i="12"/>
  <c r="J15" i="12"/>
  <c r="J14" i="12"/>
  <c r="J13" i="12"/>
  <c r="D25" i="12"/>
  <c r="D27" i="12"/>
  <c r="J5" i="12"/>
  <c r="D7" i="12"/>
  <c r="D13" i="12"/>
  <c r="J11" i="12"/>
  <c r="J8" i="12"/>
  <c r="D15" i="12"/>
  <c r="D23" i="12"/>
  <c r="J7" i="12"/>
  <c r="J4" i="12"/>
  <c r="D5" i="12"/>
  <c r="D17" i="12"/>
  <c r="D11" i="12"/>
  <c r="J9" i="12"/>
  <c r="J6" i="12"/>
  <c r="D9" i="12"/>
  <c r="J10" i="12"/>
  <c r="AB7" i="11" l="1"/>
  <c r="AC8" i="11"/>
  <c r="H7" i="7"/>
  <c r="D11" i="11"/>
  <c r="B11" i="11"/>
  <c r="C11" i="11"/>
  <c r="D5" i="7"/>
  <c r="F5" i="7"/>
  <c r="D6" i="7"/>
  <c r="H5" i="7"/>
  <c r="R8" i="7"/>
  <c r="F6" i="7"/>
  <c r="H6" i="7"/>
  <c r="C15" i="11"/>
  <c r="D15" i="11"/>
  <c r="B15" i="11"/>
  <c r="F7" i="7"/>
  <c r="D7" i="7"/>
  <c r="S10" i="7"/>
  <c r="T10" i="7" s="1"/>
  <c r="S7" i="7"/>
  <c r="T7" i="7" s="1"/>
  <c r="D13" i="11"/>
  <c r="B13" i="11"/>
  <c r="C13" i="11"/>
  <c r="S6" i="7"/>
  <c r="T6" i="7" s="1"/>
  <c r="B8" i="7"/>
  <c r="S5" i="7"/>
  <c r="T5" i="7" s="1"/>
  <c r="E27" i="12"/>
  <c r="E13" i="12"/>
  <c r="E11" i="12"/>
  <c r="J12" i="12"/>
  <c r="D21" i="12"/>
  <c r="F25" i="12"/>
  <c r="J7" i="7"/>
  <c r="J6" i="7"/>
  <c r="F27" i="12"/>
  <c r="F23" i="12"/>
  <c r="E21" i="12"/>
  <c r="J5" i="7"/>
  <c r="F8" i="7" l="1"/>
  <c r="S8" i="7"/>
  <c r="T8" i="7" s="1"/>
  <c r="T13" i="7" s="1"/>
  <c r="H8" i="7"/>
  <c r="J8" i="7"/>
  <c r="D17" i="11"/>
  <c r="D8" i="7"/>
  <c r="C17" i="11" l="1"/>
  <c r="B17" i="11"/>
</calcChain>
</file>

<file path=xl/comments1.xml><?xml version="1.0" encoding="utf-8"?>
<comments xmlns="http://schemas.openxmlformats.org/spreadsheetml/2006/main">
  <authors>
    <author>Auteur</author>
  </authors>
  <commentList>
    <comment ref="E6" authorId="0" shapeId="0">
      <text>
        <r>
          <rPr>
            <b/>
            <sz val="9"/>
            <color indexed="81"/>
            <rFont val="Tahoma"/>
            <family val="2"/>
            <charset val="238"/>
          </rPr>
          <t>Auteur:</t>
        </r>
        <r>
          <rPr>
            <sz val="9"/>
            <color indexed="81"/>
            <rFont val="Tahoma"/>
            <family val="2"/>
            <charset val="238"/>
          </rPr>
          <t xml:space="preserve">
The purpose of this is to assess monitoring precision: if there is little change over time, then very likely monitoring is not precise.</t>
        </r>
      </text>
    </comment>
    <comment ref="N6" authorId="0" shapeId="0">
      <text>
        <r>
          <rPr>
            <sz val="11"/>
            <color theme="1"/>
            <rFont val="Calibri"/>
            <family val="2"/>
            <scheme val="minor"/>
          </rPr>
          <t>Used for agricultural soil reporting (separate categories from LULUCF)</t>
        </r>
      </text>
    </comment>
    <comment ref="C7" authorId="0" shapeId="0">
      <text>
        <r>
          <rPr>
            <sz val="11"/>
            <color theme="1"/>
            <rFont val="Calibri"/>
            <family val="2"/>
            <scheme val="minor"/>
          </rPr>
          <t>Tier 1 and Tier 2 used according to analysis</t>
        </r>
      </text>
    </comment>
    <comment ref="M7" authorId="0" shapeId="0">
      <text>
        <r>
          <rPr>
            <sz val="11"/>
            <color theme="1"/>
            <rFont val="Calibri"/>
            <family val="2"/>
            <scheme val="minor"/>
          </rPr>
          <t>FMG2 Reduced 1.08(IPCC) 1.00(AT) p. 430</t>
        </r>
      </text>
    </comment>
    <comment ref="N7" authorId="0" shapeId="0">
      <text>
        <r>
          <rPr>
            <sz val="11"/>
            <color theme="1"/>
            <rFont val="Calibri"/>
            <family val="2"/>
            <scheme val="minor"/>
          </rPr>
          <t>Reporting on manure input (with/without)
PW: yes, but this is covered by column K. Organic input of manure is in Austria always an "internal" organic input, so "not captured by reporting method" would fit better her</t>
        </r>
      </text>
    </comment>
    <comment ref="O8" authorId="0" shapeId="0">
      <text>
        <r>
          <rPr>
            <b/>
            <sz val="9"/>
            <color indexed="81"/>
            <rFont val="Tahoma"/>
            <family val="2"/>
          </rPr>
          <t xml:space="preserve">Peter Weiss: </t>
        </r>
        <r>
          <rPr>
            <sz val="9"/>
            <color indexed="81"/>
            <rFont val="Tahoma"/>
            <family val="2"/>
          </rPr>
          <t>I don't know how yield is meant here, but the amount of cuttings in grassland are captured by the method
VB: yes, but it does not impact soil carbon</t>
        </r>
      </text>
    </comment>
    <comment ref="P9" authorId="0" shapeId="0">
      <text>
        <r>
          <rPr>
            <sz val="11"/>
            <color theme="1"/>
            <rFont val="Calibri"/>
            <family val="2"/>
            <scheme val="minor"/>
          </rPr>
          <t>Captured within litter and soil (Yasso model)</t>
        </r>
      </text>
    </comment>
    <comment ref="Q9" authorId="0" shapeId="0">
      <text>
        <r>
          <rPr>
            <sz val="11"/>
            <color theme="1"/>
            <rFont val="Calibri"/>
            <family val="2"/>
            <scheme val="minor"/>
          </rPr>
          <t>Captured within litter and soil (Yasso model)</t>
        </r>
      </text>
    </comment>
    <comment ref="C13" authorId="0" shapeId="0">
      <text>
        <r>
          <rPr>
            <sz val="11"/>
            <color theme="1"/>
            <rFont val="Calibri"/>
            <family val="2"/>
            <scheme val="minor"/>
          </rPr>
          <t>Minimal tier 2 based on conversions between annual and perennial cropland</t>
        </r>
      </text>
    </comment>
    <comment ref="F13" authorId="0" shapeId="0">
      <text>
        <r>
          <rPr>
            <sz val="11"/>
            <color theme="1"/>
            <rFont val="Calibri"/>
            <family val="2"/>
            <scheme val="minor"/>
          </rPr>
          <t>after 2000  HR report    vineyards, fruit trees,and berry plantations, olive groves..and others</t>
        </r>
      </text>
    </comment>
    <comment ref="C14" authorId="0" shapeId="0">
      <text>
        <r>
          <rPr>
            <sz val="11"/>
            <color theme="1"/>
            <rFont val="Calibri"/>
            <family val="2"/>
            <scheme val="minor"/>
          </rPr>
          <t>According to NIR, there have been no changes in management
practices for grassland in the past 20 years</t>
        </r>
      </text>
    </comment>
    <comment ref="O16" authorId="0" shapeId="0">
      <text>
        <r>
          <rPr>
            <sz val="11"/>
            <color theme="1"/>
            <rFont val="Calibri"/>
            <family val="2"/>
            <scheme val="minor"/>
          </rPr>
          <t>Captured in Yasso model for Tier 3</t>
        </r>
      </text>
    </comment>
    <comment ref="C18" authorId="0" shapeId="0">
      <text>
        <r>
          <rPr>
            <sz val="11"/>
            <color theme="1"/>
            <rFont val="Calibri"/>
            <family val="2"/>
            <scheme val="minor"/>
          </rPr>
          <t>Also Tier 2</t>
        </r>
      </text>
    </comment>
    <comment ref="O20" authorId="0" shapeId="0">
      <text>
        <r>
          <rPr>
            <b/>
            <sz val="9"/>
            <color indexed="81"/>
            <rFont val="Tahoma"/>
            <family val="2"/>
          </rPr>
          <t>Auteur:</t>
        </r>
        <r>
          <rPr>
            <sz val="9"/>
            <color indexed="81"/>
            <rFont val="Tahoma"/>
            <family val="2"/>
          </rPr>
          <t xml:space="preserve">
Indirectly through fertilization status of grassland</t>
        </r>
      </text>
    </comment>
    <comment ref="C22" authorId="0" shapeId="0">
      <text>
        <r>
          <rPr>
            <b/>
            <sz val="9"/>
            <color indexed="81"/>
            <rFont val="Tahoma"/>
            <family val="2"/>
          </rPr>
          <t>Auteur:</t>
        </r>
        <r>
          <rPr>
            <sz val="9"/>
            <color indexed="81"/>
            <rFont val="Tahoma"/>
            <family val="2"/>
          </rPr>
          <t xml:space="preserve">
Changes between CL subcategories (annual crops, Hops, Vineyards, Orchards, Other perennial crops (tree nurseries, Christmas tree
plantations, short-rotation plantations)) are reported.</t>
        </r>
      </text>
    </comment>
    <comment ref="C23" authorId="0" shapeId="0">
      <text>
        <r>
          <rPr>
            <b/>
            <sz val="9"/>
            <color indexed="81"/>
            <rFont val="Tahoma"/>
            <family val="2"/>
          </rPr>
          <t>Auteur:</t>
        </r>
        <r>
          <rPr>
            <sz val="9"/>
            <color indexed="81"/>
            <rFont val="Tahoma"/>
            <family val="2"/>
          </rPr>
          <t xml:space="preserve">
Minimal Tier 2 based on changes between GL and "woody GL" (shrubs)</t>
        </r>
      </text>
    </comment>
    <comment ref="C27" authorId="0" shapeId="0">
      <text>
        <r>
          <rPr>
            <sz val="11"/>
            <color theme="1"/>
            <rFont val="Calibri"/>
            <family val="2"/>
            <scheme val="minor"/>
          </rPr>
          <t>CBM model used for verification of CSC in Biomass</t>
        </r>
      </text>
    </comment>
    <comment ref="C28" authorId="0" shapeId="0">
      <text>
        <r>
          <rPr>
            <sz val="11"/>
            <color theme="1"/>
            <rFont val="Calibri"/>
            <family val="2"/>
            <scheme val="minor"/>
          </rPr>
          <t>NIR clearly mentions Tier 2 with default IPCC EF but does not provide information on which AD is used and which practice is associated with the default IPCC categories (eg. improved, degraded, …)</t>
        </r>
      </text>
    </comment>
    <comment ref="C30" authorId="0" shapeId="0">
      <text>
        <r>
          <rPr>
            <sz val="11"/>
            <color theme="1"/>
            <rFont val="Calibri"/>
            <family val="2"/>
            <scheme val="minor"/>
          </rPr>
          <t xml:space="preserve"> p.389</t>
        </r>
      </text>
    </comment>
    <comment ref="C31" authorId="0" shapeId="0">
      <text>
        <r>
          <rPr>
            <sz val="11"/>
            <color theme="1"/>
            <rFont val="Calibri"/>
            <family val="2"/>
            <scheme val="minor"/>
          </rPr>
          <t>Minimal Tier2 with cropland and temporary grassland page 235. Practices assumed constant but the period under temporary grassland varies</t>
        </r>
      </text>
    </comment>
    <comment ref="F31" authorId="0" shapeId="0">
      <text>
        <r>
          <rPr>
            <b/>
            <sz val="9"/>
            <color indexed="81"/>
            <rFont val="Tahoma"/>
            <family val="2"/>
          </rPr>
          <t xml:space="preserve">k_black:
</t>
        </r>
        <r>
          <rPr>
            <sz val="9"/>
            <color indexed="81"/>
            <rFont val="Tahoma"/>
            <family val="2"/>
          </rPr>
          <t>very little or no agrofoforestry</t>
        </r>
      </text>
    </comment>
    <comment ref="G31" authorId="0" shapeId="0">
      <text>
        <r>
          <rPr>
            <b/>
            <sz val="9"/>
            <color indexed="81"/>
            <rFont val="Tahoma"/>
            <family val="2"/>
          </rPr>
          <t xml:space="preserve">k_black:
</t>
        </r>
        <r>
          <rPr>
            <sz val="9"/>
            <color indexed="81"/>
            <rFont val="Tahoma"/>
            <family val="2"/>
          </rPr>
          <t>Temporary grasland/cropland transitions are reported under croplands and a tier 2
method is used</t>
        </r>
      </text>
    </comment>
    <comment ref="I31" authorId="0" shapeId="0">
      <text>
        <r>
          <rPr>
            <sz val="11"/>
            <color theme="1"/>
            <rFont val="Calibri"/>
            <family val="2"/>
            <scheme val="minor"/>
          </rPr>
          <t>PArennial wooody crops p.  230
KB Hegdes invenory being developed for crop, grass and settlements</t>
        </r>
      </text>
    </comment>
    <comment ref="L31" authorId="0" shapeId="0">
      <text>
        <r>
          <rPr>
            <b/>
            <sz val="9"/>
            <color indexed="81"/>
            <rFont val="Tahoma"/>
            <family val="2"/>
          </rPr>
          <t xml:space="preserve">Bernard Hyde:
</t>
        </r>
        <r>
          <rPr>
            <sz val="9"/>
            <color indexed="81"/>
            <rFont val="Tahoma"/>
            <family val="2"/>
          </rPr>
          <t>Perrenial woody crops included see croplands section chapter 6 of NIR
VB : ok, perennials are monitored but transition from annual to perennial does not impact soil C.</t>
        </r>
      </text>
    </comment>
    <comment ref="C32" authorId="0" shapeId="0">
      <text>
        <r>
          <rPr>
            <b/>
            <sz val="9"/>
            <color indexed="81"/>
            <rFont val="Tahoma"/>
            <family val="2"/>
          </rPr>
          <t>Auteur:</t>
        </r>
        <r>
          <rPr>
            <sz val="9"/>
            <color indexed="81"/>
            <rFont val="Tahoma"/>
            <family val="2"/>
          </rPr>
          <t xml:space="preserve">
Changes between "rough grazing(=unimproved grassland)" and "grassland"</t>
        </r>
      </text>
    </comment>
    <comment ref="F32" authorId="0" shapeId="0">
      <text>
        <r>
          <rPr>
            <sz val="11"/>
            <color theme="1"/>
            <rFont val="Calibri"/>
            <family val="2"/>
            <scheme val="minor"/>
          </rPr>
          <t xml:space="preserve"> small wooded areas included</t>
        </r>
      </text>
    </comment>
    <comment ref="K32" authorId="0" shapeId="0">
      <text>
        <r>
          <rPr>
            <b/>
            <sz val="9"/>
            <color indexed="81"/>
            <rFont val="Tahoma"/>
            <family val="2"/>
          </rPr>
          <t xml:space="preserve">Bernard Hyde:
</t>
        </r>
        <r>
          <rPr>
            <sz val="9"/>
            <color indexed="81"/>
            <rFont val="Tahoma"/>
            <family val="2"/>
          </rPr>
          <t>Captured through the use of the default management factors in IPCC GL, whereby difefreing Fmg factors are applied to the differeing types of grassland management
VB : ok, but change in manure inputs would not translate into soil C changes</t>
        </r>
      </text>
    </comment>
    <comment ref="C33" authorId="0" shapeId="0">
      <text>
        <r>
          <rPr>
            <sz val="11"/>
            <color theme="1"/>
            <rFont val="Calibri"/>
            <family val="2"/>
            <scheme val="minor"/>
          </rPr>
          <t xml:space="preserve"> Canadian Forest Service Carbon Budget Model</t>
        </r>
      </text>
    </comment>
    <comment ref="P34" authorId="0" shapeId="0">
      <text>
        <r>
          <rPr>
            <sz val="11"/>
            <color theme="1"/>
            <rFont val="Calibri"/>
            <family val="2"/>
            <scheme val="minor"/>
          </rPr>
          <t>IPCC climate zones (JRC) -</t>
        </r>
      </text>
    </comment>
    <comment ref="C35" authorId="0" shapeId="0">
      <text>
        <r>
          <rPr>
            <b/>
            <sz val="9"/>
            <color indexed="81"/>
            <rFont val="Tahoma"/>
            <family val="2"/>
          </rPr>
          <t>Auteur:</t>
        </r>
        <r>
          <rPr>
            <sz val="9"/>
            <color indexed="81"/>
            <rFont val="Tahoma"/>
            <family val="2"/>
          </rPr>
          <t xml:space="preserve">
Minimal tier 2: organic vs conventional</t>
        </r>
      </text>
    </comment>
    <comment ref="F35" authorId="0" shapeId="0">
      <text>
        <r>
          <rPr>
            <sz val="11"/>
            <color theme="1"/>
            <rFont val="Calibri"/>
            <family val="2"/>
            <scheme val="minor"/>
          </rPr>
          <t>its mentioned "other woody lands"</t>
        </r>
      </text>
    </comment>
    <comment ref="P35" authorId="0" shapeId="0">
      <text>
        <r>
          <rPr>
            <sz val="11"/>
            <color theme="1"/>
            <rFont val="Calibri"/>
            <family val="2"/>
            <scheme val="minor"/>
          </rPr>
          <t>JRC climatic map used- clearly mentioned in  NIR</t>
        </r>
      </text>
    </comment>
    <comment ref="C37" authorId="0" shapeId="0">
      <text>
        <r>
          <rPr>
            <sz val="11"/>
            <color theme="1"/>
            <rFont val="Calibri"/>
            <family val="2"/>
            <scheme val="minor"/>
          </rPr>
          <t>Also Tier 2  p. 331
Reply:
   Pilot study using  Yasso07 model</t>
        </r>
      </text>
    </comment>
    <comment ref="M37" authorId="0" shapeId="0">
      <text>
        <r>
          <rPr>
            <sz val="11"/>
            <color theme="1"/>
            <rFont val="Calibri"/>
            <family val="2"/>
            <scheme val="minor"/>
          </rPr>
          <t>thay  have full  tillage</t>
        </r>
      </text>
    </comment>
    <comment ref="O37" authorId="0" shapeId="0">
      <text>
        <r>
          <rPr>
            <sz val="11"/>
            <color theme="1"/>
            <rFont val="Calibri"/>
            <family val="2"/>
            <scheme val="minor"/>
          </rPr>
          <t>use of  YOsso  model</t>
        </r>
      </text>
    </comment>
    <comment ref="C38" authorId="0" shapeId="0">
      <text>
        <r>
          <rPr>
            <sz val="11"/>
            <color theme="1"/>
            <rFont val="Calibri"/>
            <family val="2"/>
            <scheme val="minor"/>
          </rPr>
          <t>mixing T1 and T2</t>
        </r>
      </text>
    </comment>
    <comment ref="C39" authorId="0" shapeId="0">
      <text>
        <r>
          <rPr>
            <sz val="11"/>
            <color theme="1"/>
            <rFont val="Calibri"/>
            <family val="2"/>
            <scheme val="minor"/>
          </rPr>
          <t xml:space="preserve"> Mix T1 and T2</t>
        </r>
      </text>
    </comment>
    <comment ref="C40" authorId="0" shapeId="0">
      <text>
        <r>
          <rPr>
            <b/>
            <sz val="9"/>
            <color indexed="81"/>
            <rFont val="Tahoma"/>
            <family val="2"/>
          </rPr>
          <t>Auteur:</t>
        </r>
        <r>
          <rPr>
            <sz val="9"/>
            <color indexed="81"/>
            <rFont val="Tahoma"/>
            <family val="2"/>
          </rPr>
          <t xml:space="preserve">
Minimal tier2: organic, perennials and annual crops</t>
        </r>
      </text>
    </comment>
    <comment ref="C43" authorId="0" shapeId="0">
      <text>
        <r>
          <rPr>
            <b/>
            <sz val="9"/>
            <color indexed="81"/>
            <rFont val="Tahoma"/>
            <family val="2"/>
          </rPr>
          <t>Auteur:</t>
        </r>
        <r>
          <rPr>
            <sz val="9"/>
            <color indexed="81"/>
            <rFont val="Tahoma"/>
            <family val="2"/>
          </rPr>
          <t xml:space="preserve">
Minimal Tier 2: perrenials vs annual</t>
        </r>
      </text>
    </comment>
    <comment ref="C49" authorId="0" shapeId="0">
      <text>
        <r>
          <rPr>
            <sz val="11"/>
            <color theme="1"/>
            <rFont val="Calibri"/>
            <family val="2"/>
            <scheme val="minor"/>
          </rPr>
          <t xml:space="preserve"> p.225</t>
        </r>
      </text>
    </comment>
    <comment ref="C50" authorId="0" shapeId="0">
      <text>
        <r>
          <rPr>
            <b/>
            <sz val="9"/>
            <color indexed="81"/>
            <rFont val="Tahoma"/>
            <family val="2"/>
          </rPr>
          <t>Auteur:</t>
        </r>
        <r>
          <rPr>
            <sz val="9"/>
            <color indexed="81"/>
            <rFont val="Tahoma"/>
            <family val="2"/>
          </rPr>
          <t xml:space="preserve">
Minimal tier 2: conversion between "nature" and grassland</t>
        </r>
      </text>
    </comment>
    <comment ref="C52" authorId="0" shapeId="0">
      <text>
        <r>
          <rPr>
            <b/>
            <sz val="9"/>
            <color indexed="81"/>
            <rFont val="Tahoma"/>
            <family val="2"/>
          </rPr>
          <t>Auteur:</t>
        </r>
        <r>
          <rPr>
            <sz val="9"/>
            <color indexed="81"/>
            <rFont val="Tahoma"/>
            <family val="2"/>
          </rPr>
          <t xml:space="preserve">
Minimal tier2: Slight changes in soil types overtime (?) p228</t>
        </r>
      </text>
    </comment>
    <comment ref="C53" authorId="0" shapeId="0">
      <text>
        <r>
          <rPr>
            <b/>
            <sz val="9"/>
            <color indexed="81"/>
            <rFont val="Tahoma"/>
            <family val="2"/>
          </rPr>
          <t>Auteur:</t>
        </r>
        <r>
          <rPr>
            <sz val="9"/>
            <color indexed="81"/>
            <rFont val="Tahoma"/>
            <family val="2"/>
          </rPr>
          <t xml:space="preserve">
Minimal tier2: Slight changes in soil types overtime (?) p228</t>
        </r>
      </text>
    </comment>
    <comment ref="C54" authorId="0" shapeId="0">
      <text>
        <r>
          <rPr>
            <sz val="11"/>
            <color theme="1"/>
            <rFont val="Calibri"/>
            <family val="2"/>
            <scheme val="minor"/>
          </rPr>
          <t>Conversions between 4 forest types: high activity, low activity, sandy, wetland</t>
        </r>
      </text>
    </comment>
    <comment ref="C55" authorId="0" shapeId="0">
      <text>
        <r>
          <rPr>
            <b/>
            <sz val="9"/>
            <color indexed="81"/>
            <rFont val="Tahoma"/>
            <family val="2"/>
          </rPr>
          <t>Auteur:</t>
        </r>
        <r>
          <rPr>
            <sz val="9"/>
            <color indexed="81"/>
            <rFont val="Tahoma"/>
            <family val="2"/>
          </rPr>
          <t xml:space="preserve">
Conventional vs irrigated vs rice vs olive vs wineyard vs other perennials + tillage vs no-till</t>
        </r>
      </text>
    </comment>
    <comment ref="M55" authorId="0" shapeId="0">
      <text>
        <r>
          <rPr>
            <sz val="11"/>
            <color theme="1"/>
            <rFont val="Calibri"/>
            <family val="2"/>
            <scheme val="minor"/>
          </rPr>
          <t xml:space="preserve"> areas  with  no tillage p460</t>
        </r>
      </text>
    </comment>
    <comment ref="C56" authorId="0" shapeId="0">
      <text>
        <r>
          <rPr>
            <b/>
            <sz val="9"/>
            <color indexed="81"/>
            <rFont val="Tahoma"/>
            <family val="2"/>
          </rPr>
          <t>Auteur:</t>
        </r>
        <r>
          <rPr>
            <sz val="9"/>
            <color indexed="81"/>
            <rFont val="Tahoma"/>
            <family val="2"/>
          </rPr>
          <t xml:space="preserve">
Biodiverse pastures</t>
        </r>
      </text>
    </comment>
    <comment ref="O56" authorId="0" shapeId="0">
      <text>
        <r>
          <rPr>
            <sz val="11"/>
            <color theme="1"/>
            <rFont val="Calibri"/>
            <family val="2"/>
            <scheme val="minor"/>
          </rPr>
          <t xml:space="preserve"> Sown Biodiverse Permanent Pastures Rich in Legumes p.463</t>
        </r>
      </text>
    </comment>
    <comment ref="C57" authorId="0" shapeId="0">
      <text>
        <r>
          <rPr>
            <b/>
            <sz val="9"/>
            <color indexed="81"/>
            <rFont val="Tahoma"/>
            <family val="2"/>
          </rPr>
          <t>Auteur:</t>
        </r>
        <r>
          <rPr>
            <sz val="9"/>
            <color indexed="81"/>
            <rFont val="Tahoma"/>
            <family val="2"/>
          </rPr>
          <t xml:space="preserve">
Conversions between dominant species</t>
        </r>
      </text>
    </comment>
    <comment ref="C58" authorId="0" shapeId="0">
      <text>
        <r>
          <rPr>
            <sz val="11"/>
            <color theme="1"/>
            <rFont val="Calibri"/>
            <family val="2"/>
            <scheme val="minor"/>
          </rPr>
          <t xml:space="preserve"> p 569 NIR. Not fully clear but likely minimal Tier 2: conversions between annual and perennial crops</t>
        </r>
      </text>
    </comment>
    <comment ref="C59" authorId="0" shapeId="0">
      <text>
        <r>
          <rPr>
            <sz val="11"/>
            <color theme="1"/>
            <rFont val="Calibri"/>
            <family val="2"/>
            <scheme val="minor"/>
          </rPr>
          <t xml:space="preserve"> p 584 NIR</t>
        </r>
      </text>
    </comment>
    <comment ref="N59" authorId="0" shapeId="0">
      <text>
        <r>
          <rPr>
            <sz val="11"/>
            <color theme="1"/>
            <rFont val="Calibri"/>
            <family val="2"/>
            <scheme val="minor"/>
          </rPr>
          <t>xmas  trees treated as FL</t>
        </r>
      </text>
    </comment>
    <comment ref="C60" authorId="0" shapeId="0">
      <text>
        <r>
          <rPr>
            <sz val="11"/>
            <color theme="1"/>
            <rFont val="Calibri"/>
            <family val="2"/>
            <scheme val="minor"/>
          </rPr>
          <t xml:space="preserve"> p 556 NIR</t>
        </r>
      </text>
    </comment>
    <comment ref="B61" authorId="0" shapeId="0">
      <text>
        <r>
          <rPr>
            <sz val="11"/>
            <color theme="1"/>
            <rFont val="Calibri"/>
            <family val="2"/>
            <scheme val="minor"/>
          </rPr>
          <t xml:space="preserve"> The emissions inventory in this category included net carbon stock change in living biomass of Perennial Cropland remaining Perennial Cropland 
(CLP-CLP) and carbon stock changes in biomass due to land-use  change  between Annual Cropland  (CLA
)  and Perennial Cropland  (CLP)  and  net  carbon  stock change  in  soil  of Annual Cropland  remaining Annual Cropland  (CLA-CLA)  and Perennial Cropland remaining Perennial C
ropland (CLP-CLP) and due to land-use change between CLAand CLP. The CLA represented arable land planted with annual crops (cereals, oilseeds, crop roots, technical crops,  fodder and other) and its area was 1 376.110 kha in 2018. The CLP including vineyards, orchards, hop-gardens 
and gardens represented 119.54 kha in 2018</t>
        </r>
      </text>
    </comment>
    <comment ref="C61" authorId="0" shapeId="0">
      <text>
        <r>
          <rPr>
            <sz val="11"/>
            <color theme="1"/>
            <rFont val="Calibri"/>
            <family val="2"/>
            <scheme val="minor"/>
          </rPr>
          <t>Minimal Tier2: conversions between perennial and annual.
Tier 1 method assumes that dead wood and litter stocks are not present 
in Cropland or are at equilibrium like in agroforestry systems and orchards.
p.328 NIR</t>
        </r>
      </text>
    </comment>
    <comment ref="F61" authorId="0" shapeId="0">
      <text>
        <r>
          <rPr>
            <sz val="11"/>
            <color theme="1"/>
            <rFont val="Calibri"/>
            <family val="2"/>
            <scheme val="minor"/>
          </rPr>
          <t>Tier 1 method assumes that dead wood and litter stocks are not present 
in Cropland or are at equilibrium like in agroforestry systems and orchards. 
p.328 NIR</t>
        </r>
      </text>
    </comment>
    <comment ref="C64" authorId="0" shapeId="0">
      <text>
        <r>
          <rPr>
            <b/>
            <sz val="9"/>
            <color indexed="81"/>
            <rFont val="Tahoma"/>
            <family val="2"/>
          </rPr>
          <t>Auteur:</t>
        </r>
        <r>
          <rPr>
            <sz val="9"/>
            <color indexed="81"/>
            <rFont val="Tahoma"/>
            <family val="2"/>
          </rPr>
          <t xml:space="preserve">
Not fully clear from NIR but apparently minimal Tier2: conversions between annual and perennial</t>
        </r>
      </text>
    </comment>
    <comment ref="F64" authorId="0" shapeId="0">
      <text>
        <r>
          <rPr>
            <sz val="11"/>
            <color theme="1"/>
            <rFont val="Calibri"/>
            <family val="2"/>
            <scheme val="minor"/>
          </rPr>
          <t>The Tier 1 method of 2006 Guidelines assumess that the dead wood and litter stocks are not 
present in Cropland or are at equilibrium as in agroforestry systems and orchards. Thus, there 
is no need to estimate the carbon stock changes for these pools. </t>
        </r>
      </text>
    </comment>
    <comment ref="C65" authorId="0" shapeId="0">
      <text>
        <r>
          <rPr>
            <b/>
            <sz val="9"/>
            <color indexed="81"/>
            <rFont val="Tahoma"/>
            <family val="2"/>
          </rPr>
          <t>Auteur:</t>
        </r>
        <r>
          <rPr>
            <sz val="9"/>
            <color indexed="81"/>
            <rFont val="Tahoma"/>
            <family val="2"/>
          </rPr>
          <t xml:space="preserve">
Not fully clear from NIR but apparently minimal Tier2: conversions between annual and perennial</t>
        </r>
      </text>
    </comment>
    <comment ref="D66" authorId="0" shapeId="0">
      <text>
        <r>
          <rPr>
            <sz val="11"/>
            <color theme="1"/>
            <rFont val="Calibri"/>
            <family val="2"/>
            <scheme val="minor"/>
          </rPr>
          <t>no FF carbon stock change</t>
        </r>
      </text>
    </comment>
    <comment ref="H67" authorId="0" shapeId="0">
      <text>
        <r>
          <rPr>
            <b/>
            <sz val="9"/>
            <color indexed="81"/>
            <rFont val="Tahoma"/>
            <family val="2"/>
          </rPr>
          <t>Auteur:</t>
        </r>
        <r>
          <rPr>
            <sz val="9"/>
            <color indexed="81"/>
            <rFont val="Tahoma"/>
            <family val="2"/>
          </rPr>
          <t xml:space="preserve">
For perennials only</t>
        </r>
      </text>
    </comment>
    <comment ref="M67" authorId="0" shapeId="0">
      <text>
        <r>
          <rPr>
            <b/>
            <sz val="9"/>
            <color indexed="81"/>
            <rFont val="Tahoma"/>
            <family val="2"/>
          </rPr>
          <t>Auteur:</t>
        </r>
        <r>
          <rPr>
            <sz val="9"/>
            <color indexed="81"/>
            <rFont val="Tahoma"/>
            <family val="2"/>
          </rPr>
          <t xml:space="preserve">
For perennials only</t>
        </r>
      </text>
    </comment>
    <comment ref="O67" authorId="0" shapeId="0">
      <text>
        <r>
          <rPr>
            <sz val="11"/>
            <color theme="1"/>
            <rFont val="Calibri"/>
            <family val="2"/>
            <scheme val="minor"/>
          </rPr>
          <t>p.395: La cantidad de nitrógeno aplicada al suelo en forma de aportes de restos de cultivos se obtiene 
del BNPAE elaborado anualmente por el MAPA; estas cantidades de nitrógeno se asignan a 
nivel provincial y por cultivo. Esta variable de cálculo depende de los parámetros “superficie 
cultivada” y “rendimiento agrícola anual” del Anuario de Estadística del MAPA, el cual publica 
su ejercicio estadístico después de que lo haga el equipo del Inventario, por lo que no puede 
incorporar la información de la mencionada variable de cálculo del BNPAE (correspondiente al 
año X-2) a sus inventarios. Es por ello por lo que se replica el año X-3 para el año X-2. Este 
recálculo se repite en todas las ediciones del Inventario Nacional.  </t>
        </r>
      </text>
    </comment>
    <comment ref="P67" authorId="0" shapeId="0">
      <text>
        <r>
          <rPr>
            <sz val="11"/>
            <color theme="1"/>
            <rFont val="Calibri"/>
            <family val="2"/>
            <scheme val="minor"/>
          </rPr>
          <t>p.372: Para todas las especies y sus categorías productivas se han adoptado los valores de B0 
(capacidad máxima de conversión de CH4) y MCF (fracción de conversión de CH4) de los 
cuadros 10A-9 y 10.17 de la Guía IPCC 2006. Las temperaturas promedio de las provincias 
son proporcionadas por la Agencia Estatal de Meteorología (AEMET). </t>
        </r>
      </text>
    </comment>
    <comment ref="Q67" authorId="0" shapeId="0">
      <text>
        <r>
          <rPr>
            <sz val="11"/>
            <color theme="1"/>
            <rFont val="Calibri"/>
            <family val="2"/>
            <scheme val="minor"/>
          </rPr>
          <t>p.398: Se ha utilizado la información disponible de la Agencia Estatal de Meteorología (AEMET) que 
incluye capas cartográficas de precipitación acumulada mensual, evapotranspiración potencial 
(ETP) acumulada mensual y agua útil máxima. </t>
        </r>
      </text>
    </comment>
    <comment ref="N70" authorId="0" shapeId="0">
      <text>
        <r>
          <rPr>
            <sz val="11"/>
            <color theme="1"/>
            <rFont val="Calibri"/>
            <family val="2"/>
            <scheme val="minor"/>
          </rPr>
          <t>Food waste is covered seperately in the Waste section (p.410</t>
        </r>
      </text>
    </comment>
    <comment ref="O70" authorId="0" shapeId="0">
      <text>
        <r>
          <rPr>
            <sz val="11"/>
            <color theme="1"/>
            <rFont val="Calibri"/>
            <family val="2"/>
            <scheme val="minor"/>
          </rPr>
          <t>Yield statistics for the previous year 
(at time t-1) are used for calculating annual input to soil from crop residues which 
enter the young pool immediately after each discrete annual time step (t). This 
implies that there are large instantaneous inputs every year and the young pool 
becomes highly variable between successive years. However, since the young pool 
has a high turnover, it is representing only a small proportion of the total soil 
organic carbon (typically about 2 %). Consequently, we have decided to report 
only changes in the old pool representing the more stable carbon in soil. This pool 
reflects the long-term changes in soil carbon, which we are now also reporting with 
a three-year moving average. This change in the reporting of results does not affect 
the long-term national average trends. 
p.393 NIR</t>
        </r>
      </text>
    </comment>
    <comment ref="P70" authorId="0" shapeId="0">
      <text>
        <r>
          <rPr>
            <sz val="11"/>
            <color theme="1"/>
            <rFont val="Calibri"/>
            <family val="2"/>
            <scheme val="minor"/>
          </rPr>
          <t>p. 384 of  nir</t>
        </r>
      </text>
    </comment>
    <comment ref="C76" authorId="0" shapeId="0">
      <text>
        <r>
          <rPr>
            <sz val="11"/>
            <color theme="1"/>
            <rFont val="Calibri"/>
            <family val="2"/>
            <scheme val="minor"/>
          </rPr>
          <t>model Ctool</t>
        </r>
      </text>
    </comment>
    <comment ref="F76" authorId="0" shapeId="0">
      <text>
        <r>
          <rPr>
            <sz val="11"/>
            <color theme="1"/>
            <rFont val="Calibri"/>
            <family val="2"/>
            <scheme val="minor"/>
          </rPr>
          <t>DK  report  perenial trees</t>
        </r>
      </text>
    </comment>
    <comment ref="H76" authorId="0" shapeId="0">
      <text>
        <r>
          <rPr>
            <sz val="9"/>
            <color indexed="81"/>
            <rFont val="Tahoma"/>
            <family val="2"/>
          </rPr>
          <t xml:space="preserve">Steen:
I assume no changes in SC. The area/area change is so small so it gives no sense to include it.
</t>
        </r>
      </text>
    </comment>
    <comment ref="I76" authorId="0" shapeId="0">
      <text>
        <r>
          <rPr>
            <sz val="11"/>
            <color theme="1"/>
            <rFont val="Calibri"/>
            <family val="2"/>
            <scheme val="minor"/>
          </rPr>
          <t>p.464
Steen:
We are covering all living biomass, subdivided into all perennial crops and summing up with hedges. But as for hedges the area is so small and gives no sence</t>
        </r>
      </text>
    </comment>
    <comment ref="J76" authorId="0" shapeId="0">
      <text>
        <r>
          <rPr>
            <b/>
            <sz val="9"/>
            <color indexed="81"/>
            <rFont val="Tahoma"/>
            <family val="2"/>
          </rPr>
          <t xml:space="preserve">Steen:
</t>
        </r>
        <r>
          <rPr>
            <sz val="9"/>
            <color indexed="81"/>
            <rFont val="Tahoma"/>
            <family val="2"/>
          </rPr>
          <t>Organic farming is not defined as a subdivision, but when modelling, the input factors from organic and conventional farming is included, e.g. yield level I the average of organic and conventional</t>
        </r>
      </text>
    </comment>
    <comment ref="N76" authorId="0" shapeId="0">
      <text>
        <r>
          <rPr>
            <b/>
            <sz val="9"/>
            <color indexed="81"/>
            <rFont val="Tahoma"/>
            <family val="2"/>
          </rPr>
          <t xml:space="preserve">Steen:
</t>
        </r>
        <r>
          <rPr>
            <sz val="9"/>
            <color indexed="81"/>
            <rFont val="Tahoma"/>
            <family val="2"/>
          </rPr>
          <t>As input to the modelling are we use all VS produced in the Ag sector, this include also waste returned to agriculture. Food waste is limited. Please have a look on the amounts. It gives no sense to add this in the overall turnover.</t>
        </r>
      </text>
    </comment>
    <comment ref="I77" authorId="0" shapeId="0">
      <text>
        <r>
          <rPr>
            <sz val="11"/>
            <color theme="1"/>
            <rFont val="Calibri"/>
            <family val="2"/>
            <scheme val="minor"/>
          </rPr>
          <t>p.464
Steen:
We are covering all living biomass, subdivided into all perennial crops and summing up with hedges. But as for hedges the area is so small and gives no sence</t>
        </r>
      </text>
    </comment>
    <comment ref="N77" authorId="0" shapeId="0">
      <text>
        <r>
          <rPr>
            <b/>
            <sz val="9"/>
            <color indexed="81"/>
            <rFont val="Tahoma"/>
            <family val="2"/>
          </rPr>
          <t xml:space="preserve">Steen:
</t>
        </r>
        <r>
          <rPr>
            <sz val="9"/>
            <color indexed="81"/>
            <rFont val="Tahoma"/>
            <family val="2"/>
          </rPr>
          <t>As input to the modelling are we use all VS produced in the Ag sector, this include also waste returned to agriculture. Food waste is limited. Please have a look on the amounts. It gives no sense to add this in the overall turnover.</t>
        </r>
      </text>
    </comment>
    <comment ref="C79" authorId="0" shapeId="0">
      <text>
        <r>
          <rPr>
            <b/>
            <sz val="9"/>
            <color indexed="81"/>
            <rFont val="Tahoma"/>
            <family val="2"/>
          </rPr>
          <t>Auteur:</t>
        </r>
        <r>
          <rPr>
            <sz val="9"/>
            <color indexed="81"/>
            <rFont val="Tahoma"/>
            <family val="2"/>
          </rPr>
          <t xml:space="preserve">
Minimal tier2: conversions between different types of annual and perennials</t>
        </r>
      </text>
    </comment>
    <comment ref="J79" authorId="0" shapeId="0">
      <text>
        <r>
          <rPr>
            <b/>
            <sz val="9"/>
            <color indexed="81"/>
            <rFont val="Tahoma"/>
            <family val="2"/>
          </rPr>
          <t xml:space="preserve">Emil Cienciala:
</t>
        </r>
        <r>
          <rPr>
            <sz val="9"/>
            <color indexed="81"/>
            <rFont val="Tahoma"/>
            <family val="2"/>
          </rPr>
          <t>Your description is generally correct, although one could argue that some management aspects such as organic farming, reduced tillage are captured implicitly by adequate emission factors in the Czech NIR for the recent years when LPIS activity data become available, distinguishing crop types and the linked matching management practices.
VB : For CLCL, it's clearly the type of crop that determines Fmg values so the inventory would not react to changes in practices. For GLGL, it may react but it's unclear which criteria are retained to delineate the different GL categories</t>
        </r>
      </text>
    </comment>
    <comment ref="C80" authorId="0" shapeId="0">
      <text>
        <r>
          <rPr>
            <b/>
            <sz val="9"/>
            <color indexed="81"/>
            <rFont val="Tahoma"/>
            <family val="2"/>
          </rPr>
          <t>Auteur:</t>
        </r>
        <r>
          <rPr>
            <sz val="9"/>
            <color indexed="81"/>
            <rFont val="Tahoma"/>
            <family val="2"/>
          </rPr>
          <t xml:space="preserve">
4 types of grassland, the definition of which are unclear</t>
        </r>
      </text>
    </comment>
    <comment ref="C82" authorId="0" shapeId="0">
      <text>
        <r>
          <rPr>
            <sz val="11"/>
            <color theme="1"/>
            <rFont val="Calibri"/>
            <family val="2"/>
            <scheme val="minor"/>
          </rPr>
          <t>Tillage, perennial, fallow + 3 categories of annual based on crop type.</t>
        </r>
      </text>
    </comment>
    <comment ref="C84" authorId="0" shapeId="0">
      <text>
        <r>
          <rPr>
            <b/>
            <sz val="9"/>
            <color indexed="81"/>
            <rFont val="Tahoma"/>
            <family val="2"/>
          </rPr>
          <t>Auteur:</t>
        </r>
        <r>
          <rPr>
            <sz val="9"/>
            <color indexed="81"/>
            <rFont val="Tahoma"/>
            <family val="2"/>
          </rPr>
          <t xml:space="preserve">
Applying EF from Sweden</t>
        </r>
      </text>
    </comment>
    <comment ref="C85" authorId="0" shapeId="0">
      <text>
        <r>
          <rPr>
            <sz val="11"/>
            <color theme="1"/>
            <rFont val="Calibri"/>
            <family val="2"/>
            <scheme val="minor"/>
          </rPr>
          <t>Minimal Tier 2: perennial vs annual
    also  recently  large recalculation took places followed ERT  recomendations</t>
        </r>
      </text>
    </comment>
    <comment ref="M85" authorId="0" shapeId="0">
      <text>
        <r>
          <rPr>
            <b/>
            <sz val="9"/>
            <color indexed="81"/>
            <rFont val="Tahoma"/>
            <family val="2"/>
          </rPr>
          <t>Auteur:</t>
        </r>
        <r>
          <rPr>
            <sz val="9"/>
            <color indexed="81"/>
            <rFont val="Tahoma"/>
            <family val="2"/>
          </rPr>
          <t xml:space="preserve">
p342</t>
        </r>
      </text>
    </comment>
    <comment ref="P85" authorId="0" shapeId="0">
      <text>
        <r>
          <rPr>
            <sz val="11"/>
            <color theme="1"/>
            <rFont val="Calibri"/>
            <family val="2"/>
            <scheme val="minor"/>
          </rPr>
          <t>it is  unclear  form   NIr,  but  looking  the  sources of  data  i  wound not  expect that BG  incl. Temperature and precepitation</t>
        </r>
      </text>
    </comment>
    <comment ref="C86" authorId="0" shapeId="0">
      <text>
        <r>
          <rPr>
            <b/>
            <sz val="9"/>
            <color indexed="81"/>
            <rFont val="Tahoma"/>
            <family val="2"/>
          </rPr>
          <t>Auteur:</t>
        </r>
        <r>
          <rPr>
            <sz val="9"/>
            <color indexed="81"/>
            <rFont val="Tahoma"/>
            <family val="2"/>
          </rPr>
          <t xml:space="preserve">
Minimal tier 2: conversions between shrubs/grassland vs pasture/meadows</t>
        </r>
      </text>
    </comment>
    <comment ref="I86" authorId="0" shapeId="0">
      <text>
        <r>
          <rPr>
            <sz val="11"/>
            <color theme="1"/>
            <rFont val="Calibri"/>
            <family val="2"/>
            <scheme val="minor"/>
          </rPr>
          <t xml:space="preserve"> BG  have  scrublands  included in GL</t>
        </r>
      </text>
    </comment>
    <comment ref="C87" authorId="0" shapeId="0">
      <text>
        <r>
          <rPr>
            <sz val="11"/>
            <color theme="1"/>
            <rFont val="Calibri"/>
            <family val="2"/>
            <scheme val="minor"/>
          </rPr>
          <t>T1 for organic  soils p.325 also --&gt;   "Conversion coefficients used are specific for Bulgaria and the ones given in the IPCC 2006 tables."</t>
        </r>
      </text>
    </comment>
  </commentList>
</comments>
</file>

<file path=xl/comments2.xml><?xml version="1.0" encoding="utf-8"?>
<comments xmlns="http://schemas.openxmlformats.org/spreadsheetml/2006/main">
  <authors>
    <author>Auteur</author>
  </authors>
  <commentList>
    <comment ref="B2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Used for agricultural soil reporting (separate categories from LULUCF)</t>
        </r>
      </text>
    </comment>
  </commentList>
</comments>
</file>

<file path=xl/comments3.xml><?xml version="1.0" encoding="utf-8"?>
<comments xmlns="http://schemas.openxmlformats.org/spreadsheetml/2006/main">
  <authors>
    <author>Auteur</author>
  </authors>
  <commentList>
    <comment ref="H8" authorId="0" shapeId="0">
      <text>
        <r>
          <rPr>
            <sz val="11"/>
            <color theme="1"/>
            <rFont val="Calibri"/>
            <family val="2"/>
            <scheme val="minor"/>
          </rPr>
          <t xml:space="preserve">AUT: NO
BEL: NO
BGR: NO
CYP: NO
CZE: NO
DNM: 18.338849457
EST: 275.26100000000002
FIN: 4,311.586
FRK: NO
DEU: 276.06700000000001
GRC: NO
HRV: NO
HUN: NO
IRL: 407.60876318118716
ITA: NO
LVA: 390.040211
LTU: 152.59282804285417
LUX: NO
MLT: NO
NLD: 4.5423822217708
POL: NA
PRT: NO
ROU: 2.54606
SVK: NO
SVN: NO
ESP: NO
SWE: 1,012.811417
GBE: 239.2523108459484
</t>
        </r>
      </text>
    </comment>
    <comment ref="H9" authorId="0" shapeId="0">
      <text>
        <r>
          <rPr>
            <sz val="11"/>
            <color theme="1"/>
            <rFont val="Calibri"/>
            <family val="2"/>
            <scheme val="minor"/>
          </rPr>
          <t xml:space="preserve">AUT: NO
BEL: NO
BGR: NO
CYP: NO
CZE: NO
DNM: IE
EST: NA
FIN: NA
FRK: NO
DEU: NO
GRC: NO
HRV: NO
HUN: NO
IRL: NO
ITA: NO
LVA: 36.054677
LTU: NO
LUX: NO
MLT: NO
NLD: NE
POL: NA
PRT: NO
ROU: NO
SVK: NO
SVN: NO
ESP: NO
SWE: NO
GBE: NE
</t>
        </r>
      </text>
    </comment>
    <comment ref="H10" authorId="0" shapeId="0">
      <text>
        <r>
          <rPr>
            <sz val="11"/>
            <color theme="1"/>
            <rFont val="Calibri"/>
            <family val="2"/>
            <scheme val="minor"/>
          </rPr>
          <t xml:space="preserve">AUT: NO
BEL: NO
BGR: NO
CYP: NO
CZE: NO
DNM: NO
EST: NA
FIN: NA
FRK: NO
DEU: NO
GRC: NO
HRV: NO
HUN: NO
IRL: NO
ITA: NO
LVA: NO
LTU: NO
LUX: NO
MLT: NO
NLD: NO
POL: NA
PRT: NO
ROU: NO
SVK: NO
SVN: NO
ESP: NO
SWE: NO
GBE: NA
</t>
        </r>
      </text>
    </comment>
    <comment ref="H12" authorId="0" shapeId="0">
      <text>
        <r>
          <rPr>
            <sz val="11"/>
            <color theme="1"/>
            <rFont val="Calibri"/>
            <family val="2"/>
            <scheme val="minor"/>
          </rPr>
          <t xml:space="preserve">AUT: NO
BEL: NO
BGR: NO
CYP: NE
CZE: NO
DNM: NO
EST: NA
FIN: NA
FRK: NO
DEU: NO
GRC: NO
HRV: NO
HUN: NO
IRL: NO
ITA: NO
LVA: NO
LTU: NO
LUX: NO
MLT: NO
NLD: NO
POL: NA
PRT: NO
ROU: NO
SVK: NO
SVN: NO
ESP: NO
SWE: NO
GBE: NE
</t>
        </r>
      </text>
    </comment>
    <comment ref="H13" authorId="0" shapeId="0">
      <text>
        <r>
          <rPr>
            <sz val="11"/>
            <color theme="1"/>
            <rFont val="Calibri"/>
            <family val="2"/>
            <scheme val="minor"/>
          </rPr>
          <t xml:space="preserve">AUT: NO
BEL: NO
BGR: NO
CYP: NE
CZE: NO
DNM: NO
EST: NA
FIN: NA
FRK: 23,676.766933
DEU: NO
GRC: NO
HRV: NO
HUN: NO
IRL: NO
ITA: NO
LVA: NO
LTU: NO
LUX: NO
MLT: NO
NLD: NO
POL: NA
PRT: NO
ROU: NO
SVK: NO
SVN: NO
ESP: NO
SWE: NO
GBE: 954.40012065089193
</t>
        </r>
      </text>
    </comment>
    <comment ref="L14" authorId="0" shapeId="0">
      <text>
        <r>
          <rPr>
            <sz val="11"/>
            <color theme="1"/>
            <rFont val="Calibri"/>
            <family val="2"/>
            <scheme val="minor"/>
          </rPr>
          <t>Insufficient information for reporting emissions from rewetting.</t>
        </r>
      </text>
    </comment>
    <comment ref="H16" authorId="0" shapeId="0">
      <text>
        <r>
          <rPr>
            <sz val="11"/>
            <color theme="1"/>
            <rFont val="Calibri"/>
            <family val="2"/>
            <scheme val="minor"/>
          </rPr>
          <t xml:space="preserve">AUT: NO
BEL: NO
BGR: NO
CYP: NO VALUE
CZE: NO
DNM: 127.40305578
EST: NA
FIN: IE
FRK: 80.439445603
DEU: 342.13700000000006
GRC: NO
HRV: NO
HUN: NO
IRL: NO
ITA: NO
LVA: 4.338854
LTU: 60.97411692258347
LUX: NO
MLT: NO
NLD: IE,NE
POL: NA
PRT: NO
ROU: NO
SVK: NO
SVN: NO
ESP: NO
SWE: 137.001245
GBE: IE
</t>
        </r>
      </text>
    </comment>
    <comment ref="H17" authorId="0" shapeId="0">
      <text>
        <r>
          <rPr>
            <sz val="11"/>
            <color theme="1"/>
            <rFont val="Calibri"/>
            <family val="2"/>
            <scheme val="minor"/>
          </rPr>
          <t xml:space="preserve">AUT: NO
BEL: NO
BGR: NO
CYP: NO VALUE
CZE: NO
DNM: 0.019512676309
EST: NA
FIN: NA
FRK: NO
DEU: NO
GRC: NO
HRV: NO
HUN: NO
IRL: NO
ITA: NO
LVA: NO
LTU: NO
LUX: NO
MLT: NO
NLD: NE
POL: NA
PRT: NO
ROU: NO
SVK: NO
SVN: NO
ESP: NO
SWE: NO
GBE: NE
</t>
        </r>
      </text>
    </comment>
    <comment ref="H18" authorId="0" shapeId="0">
      <text>
        <r>
          <rPr>
            <sz val="11"/>
            <color theme="1"/>
            <rFont val="Calibri"/>
            <family val="2"/>
            <scheme val="minor"/>
          </rPr>
          <t xml:space="preserve">AUT: NO
BEL: NO
BGR: NO
CYP: NO VALUE
CZE: NO
DNM: NO
EST: NA
FIN: NA
FRK: NO
DEU: NO
GRC: NO
HRV: NO
HUN: NO
IRL: NO
ITA: NO
LVA: NO
LTU: NO
LUX: NO
MLT: NO
NLD: NE
POL: NA
PRT: NO
ROU: NO
SVK: NO
SVN: NO
ESP: NO
SWE: NO
GBE: NA
</t>
        </r>
      </text>
    </comment>
    <comment ref="L19" authorId="0" shapeId="0">
      <text>
        <r>
          <rPr>
            <sz val="11"/>
            <color theme="1"/>
            <rFont val="Calibri"/>
            <family val="2"/>
            <scheme val="minor"/>
          </rPr>
          <t>Insufficient information for reporting emissions from rewetting.</t>
        </r>
      </text>
    </comment>
    <comment ref="H20" authorId="0" shapeId="0">
      <text>
        <r>
          <rPr>
            <sz val="11"/>
            <color theme="1"/>
            <rFont val="Calibri"/>
            <family val="2"/>
            <scheme val="minor"/>
          </rPr>
          <t xml:space="preserve">AUT: NO
BEL: NO
BGR: NO
CYP: NO VALUE
CZE: NO
DNM: NO
EST: NA
FIN: NA
FRK: NO
DEU: NO
GRC: NO
HRV: NO
HUN: NO
IRL: NO
ITA: NO
LVA: NO
LTU: NO
LUX: NO
MLT: NO
NLD: NE
POL: NA
PRT: NO
ROU: NO
SVK: NO
SVN: NO
ESP: NO
SWE: NO
GBE: NE
</t>
        </r>
      </text>
    </comment>
    <comment ref="H21" authorId="0" shapeId="0">
      <text>
        <r>
          <rPr>
            <sz val="11"/>
            <color theme="1"/>
            <rFont val="Calibri"/>
            <family val="2"/>
            <scheme val="minor"/>
          </rPr>
          <t xml:space="preserve">AUT: NO
BEL: NO
BGR: NO
CYP: NO VALUE
CZE: NO
DNM: NO
EST: NA
FIN: NA
FRK: 18,025.742234
DEU: NO
GRC: NO
HRV: NO
HUN: NO
IRL: NO
ITA: NO
LVA: NO
LTU: NO
LUX: NO
MLT: NO
NLD: NE
POL: NA
PRT: NO
ROU: NO
SVK: NO
SVN: NO
ESP: NO
SWE: NO
GBE: NA
</t>
        </r>
      </text>
    </comment>
    <comment ref="H24" authorId="0" shapeId="0">
      <text>
        <r>
          <rPr>
            <sz val="11"/>
            <color theme="1"/>
            <rFont val="Calibri"/>
            <family val="2"/>
            <scheme val="minor"/>
          </rPr>
          <t xml:space="preserve">AUT: 12.954
BEL: NO
BGR: NO
CYP: NO
CZE: NO
DNM: 51.331139741
EST: NA
FIN: IE
FRK: 58.616399368
DEU: 970.48299999999983
GRC: NO
HRV: NO
HUN: NO
IRL: 332.92993947209436
ITA: NO
LVA: 63.496922
LTU: 65.05127755274229
LUX: NO
MLT: NO
NLD: IE,NE
POL: NA
PRT: NO
ROU: NO
SVK: NO
SVN: NO
ESP: NO
SWE: 22.104273
GBE: IE
</t>
        </r>
      </text>
    </comment>
    <comment ref="H25" authorId="0" shapeId="0">
      <text>
        <r>
          <rPr>
            <sz val="11"/>
            <color theme="1"/>
            <rFont val="Calibri"/>
            <family val="2"/>
            <scheme val="minor"/>
          </rPr>
          <t xml:space="preserve">AUT: NO
BEL: NO
BGR: NO
CYP: NO
CZE: NO
DNM: IE
EST: NA
FIN: NA
FRK: NO
DEU: NO
GRC: NO
HRV: NO
HUN: NO
IRL: NO
ITA: NO
LVA: NO
LTU: NO
LUX: NO
MLT: NO
NLD: NE
POL: NA
PRT: NO
ROU: NO
SVK: NO
SVN: NO
ESP: NO
SWE: NO
GBE: NE
</t>
        </r>
      </text>
    </comment>
    <comment ref="H26" authorId="0" shapeId="0">
      <text>
        <r>
          <rPr>
            <sz val="11"/>
            <color theme="1"/>
            <rFont val="Calibri"/>
            <family val="2"/>
            <scheme val="minor"/>
          </rPr>
          <t xml:space="preserve">AUT: NO
BEL: NO
BGR: NO
CYP: NO
CZE: NO
DNM: NO
EST: NA
FIN: NA
FRK: NO
DEU: NO
GRC: NO
HRV: NO
HUN: NO
IRL: NO
ITA: NO
LVA: NO
LTU: NO
LUX: NO
MLT: NO
NLD: NE
POL: NA
PRT: NO
ROU: NO
SVK: NO
SVN: NO
ESP: NO
SWE: NO
GBE: NA
</t>
        </r>
      </text>
    </comment>
    <comment ref="H28" authorId="0" shapeId="0">
      <text>
        <r>
          <rPr>
            <sz val="11"/>
            <color theme="1"/>
            <rFont val="Calibri"/>
            <family val="2"/>
            <scheme val="minor"/>
          </rPr>
          <t xml:space="preserve">AUT: NO
BEL: NO
BGR: NO
CYP: NE
CZE: NO
DNM: IE
EST: NA
FIN: NA
FRK: NO
DEU: NO
GRC: NO
HRV: NO
HUN: NO
IRL: NO
ITA: NO
LVA: NO
LTU: NO
LUX: NO
MLT: NO
NLD: NE
POL: NA
PRT: NO
ROU: NO
SVK: NO
SVN: NO
ESP: NO
SWE: NO
GBE: NE
</t>
        </r>
      </text>
    </comment>
    <comment ref="H29" authorId="0" shapeId="0">
      <text>
        <r>
          <rPr>
            <sz val="11"/>
            <color theme="1"/>
            <rFont val="Calibri"/>
            <family val="2"/>
            <scheme val="minor"/>
          </rPr>
          <t xml:space="preserve">AUT: NO
BEL: NO
BGR: NO
CYP: NE
CZE: NO
DNM: NO
EST: NA
FIN: NA
FRK: 14,093.008988
DEU: IE
GRC: NO
HRV: NO
HUN: NO
IRL: NO
ITA: NO
LVA: NO
LTU: NO
LUX: NO
MLT: NO
NLD: NE
POL: NA
PRT: NO
ROU: NO
SVK: NO
SVN: NO
ESP: NO
SWE: NO
GBE: NA
</t>
        </r>
      </text>
    </comment>
    <comment ref="H33" authorId="0" shapeId="0">
      <text>
        <r>
          <rPr>
            <sz val="11"/>
            <color theme="1"/>
            <rFont val="Calibri"/>
            <family val="2"/>
            <scheme val="minor"/>
          </rPr>
          <t xml:space="preserve">AUT: NO
BEL: NO
BGR: NO
CYP: NO VALUE
CZE: NO
DNM: 0.80
EST: 18.786
FIN: 112.526
FRK: NO
DEU: IE
GRC: NO
HRV: NO
HUN: 0.7742
IRL: 80.63131382379551
ITA: NO
LVA: 33.166996
LTU: 14.054
LUX: NO
MLT: NO
NLD: NO
POL: NA
PRT: NO
ROU: NO
SVK: NO
SVN: NO
ESP: 0.00258657513349
SWE: 11.906
GBE: 0.35045
</t>
        </r>
      </text>
    </comment>
    <comment ref="H34" authorId="0" shapeId="0">
      <text>
        <r>
          <rPr>
            <sz val="11"/>
            <color theme="1"/>
            <rFont val="Calibri"/>
            <family val="2"/>
            <scheme val="minor"/>
          </rPr>
          <t xml:space="preserve">AUT: NO
BEL: NO
BGR: NO
CYP: NO VALUE
CZE: NO
DNM: NO
EST: NA
FIN: NO
FRK: NO
DEU: IE
GRC: NO
HRV: NO
HUN: NO
IRL: NO
ITA: NO
LVA: 7.810699
LTU: NO
LUX: NO
MLT: NO
NLD: NO
POL: NA
PRT: NO
ROU: NO
SVK: NO
SVN: NO
ESP: NO
SWE: NO
GBE: NE
</t>
        </r>
      </text>
    </comment>
    <comment ref="L34" authorId="0" shapeId="0">
      <text>
        <r>
          <rPr>
            <sz val="11"/>
            <color theme="1"/>
            <rFont val="Calibri"/>
            <family val="2"/>
            <scheme val="minor"/>
          </rPr>
          <t>Included with the organic soil area of Cropland remaining Cropland.</t>
        </r>
      </text>
    </comment>
    <comment ref="H35" authorId="0" shapeId="0">
      <text>
        <r>
          <rPr>
            <sz val="11"/>
            <color theme="1"/>
            <rFont val="Calibri"/>
            <family val="2"/>
            <scheme val="minor"/>
          </rPr>
          <t xml:space="preserve">AUT: NO
BEL: NO
BGR: NO
CYP: NO VALUE
CZE: NO
DNM: NO
EST: NA
FIN: NO
FRK: NO
DEU: 18.52
GRC: NO
HRV: NO
HUN: NO
IRL: 3.50937
ITA: NO
LVA: NO
LTU: NO
LUX: NO
MLT: NO
NLD: NO
POL: NA
PRT: NO
ROU: NO
SVK: NO
SVN: NO
ESP: NO
SWE: NO
GBE: NA
</t>
        </r>
      </text>
    </comment>
    <comment ref="L35" authorId="0" shapeId="0">
      <text>
        <r>
          <rPr>
            <sz val="11"/>
            <color theme="1"/>
            <rFont val="Calibri"/>
            <family val="2"/>
            <scheme val="minor"/>
          </rPr>
          <t>Included with the organic soil area in 4B</t>
        </r>
      </text>
    </comment>
    <comment ref="H37" authorId="0" shapeId="0">
      <text>
        <r>
          <rPr>
            <sz val="11"/>
            <color theme="1"/>
            <rFont val="Calibri"/>
            <family val="2"/>
            <scheme val="minor"/>
          </rPr>
          <t xml:space="preserve">AUT: NO
BEL: NO
BGR: NO
CYP: NO VALUE
CZE: NO
DNM: NA
EST: NA
FIN: NO
FRK: IE
DEU: NO
GRC: NO
HRV: NO
HUN: NO
IRL: NO
ITA: NO
LVA: NO
LTU: NO
LUX: NO
MLT: NO
NLD: NO
POL: NA
PRT: NO
ROU: NO
SVK: NO
SVN: NO
ESP: NO
SWE: NO
GBE: NE
</t>
        </r>
      </text>
    </comment>
    <comment ref="L37" authorId="0" shapeId="0">
      <text>
        <r>
          <rPr>
            <sz val="11"/>
            <color theme="1"/>
            <rFont val="Calibri"/>
            <family val="2"/>
            <scheme val="minor"/>
          </rPr>
          <t>Insufficient information for reporting emissions from rewetting.</t>
        </r>
      </text>
    </comment>
    <comment ref="H38" authorId="0" shapeId="0">
      <text>
        <r>
          <rPr>
            <sz val="11"/>
            <color theme="1"/>
            <rFont val="Calibri"/>
            <family val="2"/>
            <scheme val="minor"/>
          </rPr>
          <t xml:space="preserve">AUT: NO
BEL: NO
BGR: NO
CYP: NO VALUE
CZE: NO
DNM: NO
EST: NA
FIN: NO
FRK: NO
DEU: NO
GRC: NO
HRV: NO
HUN: NO
IRL: NO
ITA: NO
LVA: NO
LTU: NO
LUX: NO
MLT: NO
NLD: NO
POL: NA
PRT: NO
ROU: NO
SVK: NO
SVN: NO
ESP: NO
SWE: NO
GBE: NA
</t>
        </r>
      </text>
    </comment>
    <comment ref="H41" authorId="0" shapeId="0">
      <text>
        <r>
          <rPr>
            <sz val="11"/>
            <color theme="1"/>
            <rFont val="Calibri"/>
            <family val="2"/>
            <scheme val="minor"/>
          </rPr>
          <t xml:space="preserve">AUT: NO
BEL: NO
BGR: NO
CYP: NO VALUE
CZE: NO
DNM: NE
EST: NA
FIN: NO
FRK: NO
DEU: IE
GRC: NO
HRV: NO
HUN: NO
IRL: NO
ITA: NO
LVA: NO
LTU: NO
LUX: NO
MLT: NO
NLD: NO
POL: NA
PRT: NO
ROU: NO
SVK: NO
SVN: NO
ESP: NO
SWE: NO
GBE: NO
</t>
        </r>
      </text>
    </comment>
    <comment ref="H42" authorId="0" shapeId="0">
      <text>
        <r>
          <rPr>
            <sz val="11"/>
            <color theme="1"/>
            <rFont val="Calibri"/>
            <family val="2"/>
            <scheme val="minor"/>
          </rPr>
          <t xml:space="preserve">AUT: NO
BEL: NO
BGR: NO
CYP: NO VALUE
CZE: NO
DNM: NE
EST: NA
FIN: NO
FRK: NO
DEU: IE
GRC: NO
HRV: NO
HUN: NO
IRL: NO
ITA: NO
LVA: NO
LTU: NO
LUX: NO
MLT: NO
NLD: NO
POL: NA
PRT: NO
ROU: NO
SVK: NO
SVN: NO
ESP: NO
SWE: NO
GBE: NO
</t>
        </r>
      </text>
    </comment>
    <comment ref="L42" authorId="0" shapeId="0">
      <text>
        <r>
          <rPr>
            <sz val="11"/>
            <color theme="1"/>
            <rFont val="Calibri"/>
            <family val="2"/>
            <scheme val="minor"/>
          </rPr>
          <t>Insufficient information for reporting emissions from rewetting.</t>
        </r>
      </text>
    </comment>
    <comment ref="H43" authorId="0" shapeId="0">
      <text>
        <r>
          <rPr>
            <sz val="11"/>
            <color theme="1"/>
            <rFont val="Calibri"/>
            <family val="2"/>
            <scheme val="minor"/>
          </rPr>
          <t xml:space="preserve">AUT: NO
BEL: NO
BGR: NO
CYP: NO VALUE
CZE: NO
DNM: NO
EST: NA
FIN: 12.714
FRK: IE
DEU: 22.145
GRC: NO
HRV: NO
HUN: NO
IRL: NO
ITA: NO
LVA: NO
LTU: NO
LUX: NO
MLT: NO
NLD: NO
POL: NA
PRT: NO
ROU: NO
SVK: NO
SVN: NO
ESP: NO
SWE: NO
GBE: NA
</t>
        </r>
      </text>
    </comment>
    <comment ref="H45" authorId="0" shapeId="0">
      <text>
        <r>
          <rPr>
            <sz val="11"/>
            <color theme="1"/>
            <rFont val="Calibri"/>
            <family val="2"/>
            <scheme val="minor"/>
          </rPr>
          <t xml:space="preserve">AUT: NO
BEL: NO
BGR: NO
CYP: NO VALUE
CZE: NO
DNM: NE
EST: NA
FIN: NO
FRK: NO
DEU: NO
GRC: NO
HRV: NO
HUN: NO
IRL: NO
ITA: NO
LVA: NO
LTU: NO
LUX: NO
MLT: NO
NLD: NO
POL: NA
PRT: NO
ROU: NO
SVK: NO
SVN: NO
ESP: NO
SWE: NO
GBE: NO
</t>
        </r>
      </text>
    </comment>
    <comment ref="H46" authorId="0" shapeId="0">
      <text>
        <r>
          <rPr>
            <sz val="11"/>
            <color theme="1"/>
            <rFont val="Calibri"/>
            <family val="2"/>
            <scheme val="minor"/>
          </rPr>
          <t xml:space="preserve">AUT: NO
BEL: NO
BGR: NO
CYP: NO VALUE
CZE: NO
DNM: NO
EST: NA
FIN: NO
FRK: 1,158.1738661
DEU: NO
GRC: NO
HRV: NO
HUN: NO
IRL: NO
ITA: NO
LVA: NO
LTU: NO
LUX: NO
MLT: NO
NLD: NO
POL: NA
PRT: NO
ROU: NO
SVK: NO
SVN: NO
ESP: NO
SWE: NO
GBE: NA
</t>
        </r>
      </text>
    </comment>
    <comment ref="L48" authorId="0" shapeId="0">
      <text>
        <r>
          <rPr>
            <sz val="11"/>
            <color theme="1"/>
            <rFont val="Calibri"/>
            <family val="2"/>
            <scheme val="minor"/>
          </rPr>
          <t>Included in 4.C carbon stock change</t>
        </r>
      </text>
    </comment>
    <comment ref="L49" authorId="0" shapeId="0">
      <text>
        <r>
          <rPr>
            <sz val="11"/>
            <color theme="1"/>
            <rFont val="Calibri"/>
            <family val="2"/>
            <scheme val="minor"/>
          </rPr>
          <t>Insufficient information for reporting.</t>
        </r>
      </text>
    </comment>
    <comment ref="L51" authorId="0" shapeId="0">
      <text>
        <r>
          <rPr>
            <sz val="11"/>
            <color theme="1"/>
            <rFont val="Calibri"/>
            <family val="2"/>
            <scheme val="minor"/>
          </rPr>
          <t>Insufficient information for reporting emissions from rewetting.</t>
        </r>
      </text>
    </comment>
    <comment ref="L52" authorId="0" shapeId="0">
      <text>
        <r>
          <rPr>
            <sz val="11"/>
            <color theme="1"/>
            <rFont val="Calibri"/>
            <family val="2"/>
            <scheme val="minor"/>
          </rPr>
          <t>Insufficient information for reporting emissions from rewetting.</t>
        </r>
      </text>
    </comment>
    <comment ref="L56" authorId="0" shapeId="0">
      <text>
        <r>
          <rPr>
            <sz val="11"/>
            <color theme="1"/>
            <rFont val="Calibri"/>
            <family val="2"/>
            <scheme val="minor"/>
          </rPr>
          <t>Insufficient information for reporting emissions from rewetting.</t>
        </r>
      </text>
    </comment>
    <comment ref="L57" authorId="0" shapeId="0">
      <text>
        <r>
          <rPr>
            <sz val="11"/>
            <color theme="1"/>
            <rFont val="Calibri"/>
            <family val="2"/>
            <scheme val="minor"/>
          </rPr>
          <t>Insufficient information for reporting emissions from rewetting.</t>
        </r>
      </text>
    </comment>
    <comment ref="L64" authorId="0" shapeId="0">
      <text>
        <r>
          <rPr>
            <sz val="11"/>
            <color theme="1"/>
            <rFont val="Calibri"/>
            <family val="2"/>
            <scheme val="minor"/>
          </rPr>
          <t>Insufficient activity data for reporting.</t>
        </r>
      </text>
    </comment>
    <comment ref="L66" authorId="0" shapeId="0">
      <text>
        <r>
          <rPr>
            <sz val="11"/>
            <color theme="1"/>
            <rFont val="Calibri"/>
            <family val="2"/>
            <scheme val="minor"/>
          </rPr>
          <t>Insufficient information for reporting emissions from rewetting.</t>
        </r>
      </text>
    </comment>
    <comment ref="L72" authorId="0" shapeId="0">
      <text>
        <r>
          <rPr>
            <sz val="11"/>
            <color theme="1"/>
            <rFont val="Calibri"/>
            <family val="2"/>
            <scheme val="minor"/>
          </rPr>
          <t>Insufficient information for reporting emissions from rewetting.</t>
        </r>
      </text>
    </comment>
  </commentList>
</comments>
</file>

<file path=xl/sharedStrings.xml><?xml version="1.0" encoding="utf-8"?>
<sst xmlns="http://schemas.openxmlformats.org/spreadsheetml/2006/main" count="5174" uniqueCount="489">
  <si>
    <t>Practices captured</t>
  </si>
  <si>
    <t>Effects captured</t>
  </si>
  <si>
    <t>Country</t>
  </si>
  <si>
    <t>Category</t>
  </si>
  <si>
    <t>Reporting method</t>
  </si>
  <si>
    <t>IEF (tC/ha/yr)</t>
  </si>
  <si>
    <t>Standard deviation of IEF (tC/ha/yr)</t>
  </si>
  <si>
    <t>Agroforestry</t>
  </si>
  <si>
    <t>Temporary grassland</t>
  </si>
  <si>
    <t>Cover crops</t>
  </si>
  <si>
    <t>Hedges</t>
  </si>
  <si>
    <t>Reduced tillage</t>
  </si>
  <si>
    <t>External organic inputs (eg. food waste, sludge from waste water treatment plants, …)</t>
  </si>
  <si>
    <t>Yield</t>
  </si>
  <si>
    <t>Temperature</t>
  </si>
  <si>
    <t>Precipitation</t>
  </si>
  <si>
    <t>Area</t>
  </si>
  <si>
    <t>Austria</t>
  </si>
  <si>
    <t>CLCL</t>
  </si>
  <si>
    <t>Tier 2</t>
  </si>
  <si>
    <t>Not captured by reporting method</t>
  </si>
  <si>
    <t>Captured by reporting method</t>
  </si>
  <si>
    <t>GLGL</t>
  </si>
  <si>
    <t>NO</t>
  </si>
  <si>
    <t>FLFL</t>
  </si>
  <si>
    <t>N/A</t>
  </si>
  <si>
    <t>Belgium</t>
  </si>
  <si>
    <t>Tier 1</t>
  </si>
  <si>
    <t>no</t>
  </si>
  <si>
    <t>Croatia</t>
  </si>
  <si>
    <t>Unclear from NIR</t>
  </si>
  <si>
    <t>Finland</t>
  </si>
  <si>
    <t>Tier 3 - soil inventory</t>
  </si>
  <si>
    <t>Tier 3 - model</t>
  </si>
  <si>
    <t>France</t>
  </si>
  <si>
    <t>Germany</t>
  </si>
  <si>
    <t>Greece</t>
  </si>
  <si>
    <t>not captured by reporting method</t>
  </si>
  <si>
    <t>Hungary</t>
  </si>
  <si>
    <t>Ireland</t>
  </si>
  <si>
    <t>Italy</t>
  </si>
  <si>
    <t>Latvia</t>
  </si>
  <si>
    <t>Lithuania</t>
  </si>
  <si>
    <t>Luxembourg</t>
  </si>
  <si>
    <t>Malta</t>
  </si>
  <si>
    <t>Netherlands</t>
  </si>
  <si>
    <t>Poland</t>
  </si>
  <si>
    <t>NO,NA</t>
  </si>
  <si>
    <t>Portugal</t>
  </si>
  <si>
    <t>Romania</t>
  </si>
  <si>
    <t>NE</t>
  </si>
  <si>
    <t>Slovakia</t>
  </si>
  <si>
    <t>NA</t>
  </si>
  <si>
    <t>Slovenia</t>
  </si>
  <si>
    <t>NO,NE</t>
  </si>
  <si>
    <t>Spain</t>
  </si>
  <si>
    <t>Sweden</t>
  </si>
  <si>
    <t>-0,09</t>
  </si>
  <si>
    <t>-0,05</t>
  </si>
  <si>
    <t>0,19</t>
  </si>
  <si>
    <t>Cyprus</t>
  </si>
  <si>
    <t>Denmark</t>
  </si>
  <si>
    <t>Czechia</t>
  </si>
  <si>
    <t>Estonia</t>
  </si>
  <si>
    <t>Bulgaria</t>
  </si>
  <si>
    <t>Practice</t>
  </si>
  <si>
    <t>Total area (kha)</t>
  </si>
  <si>
    <t># of MS</t>
  </si>
  <si>
    <t>Share of total area</t>
  </si>
  <si>
    <t>Cropland remaining cropland</t>
  </si>
  <si>
    <t>Grassland remaining grassland</t>
  </si>
  <si>
    <t>Forest remaining forest</t>
  </si>
  <si>
    <t>EU</t>
  </si>
  <si>
    <t>Current soil emissions from</t>
  </si>
  <si>
    <t>Total area of mineral soils (kha)</t>
  </si>
  <si>
    <t>EF (tC/ha/yr)</t>
  </si>
  <si>
    <t>Emissions (MtCO2/yr)</t>
  </si>
  <si>
    <t>Scénario</t>
  </si>
  <si>
    <r>
      <t>(</t>
    </r>
    <r>
      <rPr>
        <b/>
        <sz val="9"/>
        <color rgb="FF000000"/>
        <rFont val="Calibri"/>
        <family val="2"/>
      </rPr>
      <t>A</t>
    </r>
    <r>
      <rPr>
        <sz val="9"/>
        <color rgb="FF000000"/>
        <rFont val="Calibri"/>
        <family val="2"/>
      </rPr>
      <t>)</t>
    </r>
  </si>
  <si>
    <r>
      <t>(</t>
    </r>
    <r>
      <rPr>
        <b/>
        <sz val="9"/>
        <color rgb="FF000000"/>
        <rFont val="Calibri"/>
        <family val="2"/>
      </rPr>
      <t>B</t>
    </r>
    <r>
      <rPr>
        <sz val="9"/>
        <color rgb="FF000000"/>
        <rFont val="Calibri"/>
        <family val="2"/>
      </rPr>
      <t>)</t>
    </r>
  </si>
  <si>
    <r>
      <t>(</t>
    </r>
    <r>
      <rPr>
        <b/>
        <sz val="9"/>
        <color rgb="FF000000"/>
        <rFont val="Calibri"/>
        <family val="2"/>
      </rPr>
      <t>C</t>
    </r>
    <r>
      <rPr>
        <sz val="9"/>
        <color rgb="FF000000"/>
        <rFont val="Calibri"/>
        <family val="2"/>
      </rPr>
      <t>)</t>
    </r>
  </si>
  <si>
    <r>
      <t>(</t>
    </r>
    <r>
      <rPr>
        <b/>
        <sz val="9"/>
        <color rgb="FF000000"/>
        <rFont val="Calibri"/>
        <family val="2"/>
      </rPr>
      <t>D</t>
    </r>
    <r>
      <rPr>
        <sz val="9"/>
        <color rgb="FF000000"/>
        <rFont val="Calibri"/>
        <family val="2"/>
      </rPr>
      <t>)</t>
    </r>
  </si>
  <si>
    <r>
      <t>(</t>
    </r>
    <r>
      <rPr>
        <b/>
        <sz val="9"/>
        <color rgb="FF000000"/>
        <rFont val="Calibri"/>
        <family val="2"/>
      </rPr>
      <t>E</t>
    </r>
    <r>
      <rPr>
        <sz val="9"/>
        <color rgb="FF000000"/>
        <rFont val="Calibri"/>
        <family val="2"/>
      </rPr>
      <t>)</t>
    </r>
  </si>
  <si>
    <t>Soil &amp; biomass, MtCO2/yr</t>
  </si>
  <si>
    <t>Soil, MtCO2/yr</t>
  </si>
  <si>
    <t>Lugato 2015, 2010-2050 cumulated storaged annualized</t>
  </si>
  <si>
    <t>Coût ≤ 0 €/tC</t>
  </si>
  <si>
    <r>
      <t>25 €/tCO</t>
    </r>
    <r>
      <rPr>
        <vertAlign val="subscript"/>
        <sz val="9"/>
        <color rgb="FF000000"/>
        <rFont val="Calibri"/>
        <family val="2"/>
      </rPr>
      <t>2</t>
    </r>
    <r>
      <rPr>
        <sz val="9"/>
        <color rgb="FF000000"/>
        <rFont val="Calibri"/>
        <family val="2"/>
      </rPr>
      <t>e</t>
    </r>
  </si>
  <si>
    <r>
      <t>55 €/tCO</t>
    </r>
    <r>
      <rPr>
        <vertAlign val="subscript"/>
        <sz val="9"/>
        <color rgb="FF000000"/>
        <rFont val="Calibri"/>
        <family val="2"/>
      </rPr>
      <t>2</t>
    </r>
    <r>
      <rPr>
        <sz val="9"/>
        <color rgb="FF000000"/>
        <rFont val="Calibri"/>
        <family val="2"/>
      </rPr>
      <t>e</t>
    </r>
  </si>
  <si>
    <r>
      <t>250 €/tCO</t>
    </r>
    <r>
      <rPr>
        <vertAlign val="subscript"/>
        <sz val="9"/>
        <color rgb="FF000000"/>
        <rFont val="Calibri"/>
        <family val="2"/>
      </rPr>
      <t>2</t>
    </r>
    <r>
      <rPr>
        <sz val="9"/>
        <color rgb="FF000000"/>
        <rFont val="Calibri"/>
        <family val="2"/>
      </rPr>
      <t>e</t>
    </r>
  </si>
  <si>
    <t>MACC globale</t>
  </si>
  <si>
    <t>91,75 €/tC</t>
  </si>
  <si>
    <t>201,7 €/tC</t>
  </si>
  <si>
    <t>917,5 €/tC</t>
  </si>
  <si>
    <t>Potentiel de stockage total (MtC/an)</t>
  </si>
  <si>
    <t>Carbon sequestration potential in the soil (MtCO2/yr)</t>
  </si>
  <si>
    <t>Coût total (M€/an)</t>
  </si>
  <si>
    <t>Current area (Mha)</t>
  </si>
  <si>
    <t>Pellerin et al (2019) upscaled</t>
  </si>
  <si>
    <t>Lugato et al. (2014)</t>
  </si>
  <si>
    <t>Greifswald Mire Centre (2020)</t>
  </si>
  <si>
    <t>Coût de la dernière tonne stockée (€/tC)</t>
  </si>
  <si>
    <t>Arable agroforestry</t>
  </si>
  <si>
    <t>EU-UK mineral soils</t>
  </si>
  <si>
    <r>
      <t>Contribution des pratiques (MtC/an)</t>
    </r>
    <r>
      <rPr>
        <sz val="9"/>
        <color rgb="FF000000"/>
        <rFont val="Calibri"/>
        <family val="2"/>
      </rPr>
      <t xml:space="preserve"> :</t>
    </r>
  </si>
  <si>
    <t>Extension des cultures intermédiaires</t>
  </si>
  <si>
    <t>Grass/Maize substitution</t>
  </si>
  <si>
    <t>not applicable</t>
  </si>
  <si>
    <t>Insertion et allongement des prairies temporaires</t>
  </si>
  <si>
    <t>negligible</t>
  </si>
  <si>
    <t>Nouvelles ressources organiques</t>
  </si>
  <si>
    <t>Intensification modérée des prairies permanentes</t>
  </si>
  <si>
    <t>Total</t>
  </si>
  <si>
    <t>Remplacement fauche pâture en PP</t>
  </si>
  <si>
    <t>Enherbement permanent des inter-rangs (vignes)</t>
  </si>
  <si>
    <t>Enherbement hivernal des inter-rangs (vignes)</t>
  </si>
  <si>
    <t>Agroforesterie intra-parcellaire</t>
  </si>
  <si>
    <t>Haies</t>
  </si>
  <si>
    <t>Potentiel de stockage en MtCO2e/an</t>
  </si>
  <si>
    <t>Bilan GES complet (y.c. stockage)</t>
  </si>
  <si>
    <t>Annual Net carbon stock change in mineral soils in kt C</t>
  </si>
  <si>
    <t>Query results for — Party: European Union (Convention) | Year: Last Inventory Year (2018) | Category: 4.A.1  Forest Land Remaining Forest Land and 3 other(s) | Classification: Carbon stock change | Type of value: Net carbon stock change in mineral soils | Gas: C | Unit: kt C</t>
  </si>
  <si>
    <t>All residuals left on field</t>
  </si>
  <si>
    <t xml:space="preserve"> </t>
  </si>
  <si>
    <t>Year</t>
  </si>
  <si>
    <t>Last Inventory Year (2018)</t>
  </si>
  <si>
    <t>Party</t>
  </si>
  <si>
    <t>Category \ Unit</t>
  </si>
  <si>
    <t>kt C</t>
  </si>
  <si>
    <t>FR</t>
  </si>
  <si>
    <t>European Union (Convention)</t>
  </si>
  <si>
    <t>4.A.1  Forest Land Remaining Forest Land</t>
  </si>
  <si>
    <t>Cattle population size (1000 heads, CRF 2018)</t>
  </si>
  <si>
    <t>4.B.1  Cropland Remaining Cropland</t>
  </si>
  <si>
    <t>4.C.1  Grassland Remaining Grassland</t>
  </si>
  <si>
    <t>Note 1: The reporting and review requirements for GHG inventories are different for Annex I and non-Annex I Parties. The definition format of data for emissions/removals from the forestry sector is different for Annex I and non-Annex I Parties.</t>
  </si>
  <si>
    <t>Note 2: Base year data in the data interface relate to the base year under the Climate Change Convention (UNFCCC).  The base year under the Convention is defined slightly different than the base year under the Kyoto Protocol.  An exception is made for European Union (KP) whereby the base year under the Kyoto Protocol is displayed.</t>
  </si>
  <si>
    <t>Note 3: – means "No data available"</t>
  </si>
  <si>
    <t>Note 4: 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</si>
  <si>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Source: UNFCCC GHG Data Interface</t>
  </si>
  <si>
    <t>Report produced on Friday, 27 November 2020, 15:02:37 CET</t>
  </si>
  <si>
    <t>Query results for — Party: United Kingdom of Great Britain and Northern Ireland | Year: Last Inventory Year (2018) | Category: 4.A.1  Forest Land Remaining Forest Land and 2 other(s) | Classification: Carbon stock change | Type of value: Net carbon stock change in mineral soils | Gas: C | Unit: kt C</t>
  </si>
  <si>
    <t>United Kingdom of Great Britain and Northern Ireland</t>
  </si>
  <si>
    <t>Data extracted on 02/12/2020 18:37:48 from [ESTAT]</t>
  </si>
  <si>
    <t>Data extracted on 02/12/2020 18:44:55 from [ESTAT]</t>
  </si>
  <si>
    <t xml:space="preserve">Dataset: </t>
  </si>
  <si>
    <t>Soil cover by NUTS2 regions [EF_MP_SOIL]</t>
  </si>
  <si>
    <t>Main farm land use by NUTS 2 regions [EF_LUS_MAIN]</t>
  </si>
  <si>
    <t xml:space="preserve">Last updated: </t>
  </si>
  <si>
    <t>03/08/2020 23:00</t>
  </si>
  <si>
    <t>17/01/2020 23:00</t>
  </si>
  <si>
    <t>Time frequency</t>
  </si>
  <si>
    <t>Annual</t>
  </si>
  <si>
    <t>ha</t>
  </si>
  <si>
    <t>%</t>
  </si>
  <si>
    <t>Share of arable land with crop rotation</t>
  </si>
  <si>
    <t>Bare soil</t>
  </si>
  <si>
    <t>Farm type</t>
  </si>
  <si>
    <t>Unknown</t>
  </si>
  <si>
    <t>Standardoutput in Euros</t>
  </si>
  <si>
    <t>Agricultural area</t>
  </si>
  <si>
    <t>Unit of measure</t>
  </si>
  <si>
    <t>Hectare</t>
  </si>
  <si>
    <t>Time</t>
  </si>
  <si>
    <t>2016</t>
  </si>
  <si>
    <t>SOIL_COV (Labels)</t>
  </si>
  <si>
    <t>Arable land</t>
  </si>
  <si>
    <t/>
  </si>
  <si>
    <t>Arable land excluding soil cover</t>
  </si>
  <si>
    <t>Normal winter crop</t>
  </si>
  <si>
    <t>Cover crop or intermediate crop</t>
  </si>
  <si>
    <t>Plant residues</t>
  </si>
  <si>
    <t>Multi-annual plants</t>
  </si>
  <si>
    <t>Cover crops 2010</t>
  </si>
  <si>
    <t>CROPS (Labels)</t>
  </si>
  <si>
    <t>Farm area</t>
  </si>
  <si>
    <t>Utilised Agricultural Area</t>
  </si>
  <si>
    <t>Fully converted and under conversion to organic farming</t>
  </si>
  <si>
    <t>Permanent grassland</t>
  </si>
  <si>
    <t>Permanent crops</t>
  </si>
  <si>
    <t>Kitchen gardens</t>
  </si>
  <si>
    <t>Cultivated mushrooms</t>
  </si>
  <si>
    <t>Unutilised agricultural area</t>
  </si>
  <si>
    <t>Wooded areas</t>
  </si>
  <si>
    <t>Other areas on the farms</t>
  </si>
  <si>
    <t>GEO (Labels)</t>
  </si>
  <si>
    <t>:</t>
  </si>
  <si>
    <t>c</t>
  </si>
  <si>
    <t>Germany (until 1990 former territory of the FRG)</t>
  </si>
  <si>
    <t>p</t>
  </si>
  <si>
    <t>pu</t>
  </si>
  <si>
    <t>n</t>
  </si>
  <si>
    <t>United Kingdom</t>
  </si>
  <si>
    <t>Norway</t>
  </si>
  <si>
    <t>Special value</t>
  </si>
  <si>
    <t>North Macedonia</t>
  </si>
  <si>
    <t>not available</t>
  </si>
  <si>
    <t>Available flags:</t>
  </si>
  <si>
    <t>provisional, low reliability</t>
  </si>
  <si>
    <t>confidential</t>
  </si>
  <si>
    <t>not significant</t>
  </si>
  <si>
    <t>provisional</t>
  </si>
  <si>
    <t>GHG submissions time-series</t>
  </si>
  <si>
    <t>Report produced on Tue Nov 24 2020 10:27:44 GMT+0100 (W. Europe Standard Time)</t>
  </si>
  <si>
    <t>Annex I</t>
  </si>
  <si>
    <t>4.  Land Use, Land-Use Change and Forestry → 4.B  Cropland → 4.B.1  Cropland Remaining Cropland → Carbon stock change</t>
  </si>
  <si>
    <t>Variable</t>
  </si>
  <si>
    <t>[Cropland][Carbon stock change][Cropland][Implied carbon stock change factors][Mineral soils][Net carbon stock change in soils per area][t C/ha]</t>
  </si>
  <si>
    <t>Submissions</t>
  </si>
  <si>
    <t>Base year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</si>
  <si>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</si>
  <si>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</si>
  <si>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</si>
  <si>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</si>
  <si>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</si>
  <si>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</si>
  <si>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</si>
  <si>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</si>
  <si>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</si>
  <si>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</si>
  <si>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</si>
  <si>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</si>
  <si>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</si>
  <si>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</si>
  <si>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</si>
  <si>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</si>
  <si>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</si>
  <si>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</si>
  <si>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</si>
  <si>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</si>
  <si>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</si>
  <si>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</si>
  <si>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</si>
  <si>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</si>
  <si>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</si>
  <si>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</si>
  <si>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2017</t>
  </si>
  <si>
    <t>2018</t>
  </si>
  <si>
    <t>SD_pct</t>
  </si>
  <si>
    <t>SD</t>
  </si>
  <si>
    <t>Name2</t>
  </si>
  <si>
    <t>AUS 2020 v1</t>
  </si>
  <si>
    <t>AUT 2020 v2</t>
  </si>
  <si>
    <t>BLR 2020 v2</t>
  </si>
  <si>
    <t>BEL 2020 v1</t>
  </si>
  <si>
    <t>BGR 2020 v1</t>
  </si>
  <si>
    <t>CAN 2020 v1</t>
  </si>
  <si>
    <t>HRV 2020 v1</t>
  </si>
  <si>
    <t>CYP 2020 v5</t>
  </si>
  <si>
    <t>CZE 2020 v1</t>
  </si>
  <si>
    <t>DNK 2020 v4</t>
  </si>
  <si>
    <t>DKE 2020 v4</t>
  </si>
  <si>
    <t>DNM 2020 v5</t>
  </si>
  <si>
    <t>EST 2020 v1</t>
  </si>
  <si>
    <t>EUA 2020 v2</t>
  </si>
  <si>
    <t>EUC 2020 v2</t>
  </si>
  <si>
    <t>FIN 2020 v4</t>
  </si>
  <si>
    <t>FRA 2020 v3</t>
  </si>
  <si>
    <t>FRK 2020 v1</t>
  </si>
  <si>
    <t>DEU 2020 v1</t>
  </si>
  <si>
    <t>GRC 2020 v1</t>
  </si>
  <si>
    <t>HUN 2020 v3</t>
  </si>
  <si>
    <t>ISL 2020 v1</t>
  </si>
  <si>
    <t>IRL 2020 v3</t>
  </si>
  <si>
    <t>ITA 2020 v1</t>
  </si>
  <si>
    <t>JPN 2020 v1</t>
  </si>
  <si>
    <t>KAZ 2020 v5</t>
  </si>
  <si>
    <t>LVA 2020 v3</t>
  </si>
  <si>
    <t>LIE 2020 v1</t>
  </si>
  <si>
    <t>LTU 2020 v1</t>
  </si>
  <si>
    <t>—</t>
  </si>
  <si>
    <t>Lituania</t>
  </si>
  <si>
    <t>LUX 2020 v1</t>
  </si>
  <si>
    <t>MLT 2020 v2</t>
  </si>
  <si>
    <t>MCO 2020 v1</t>
  </si>
  <si>
    <t>NLD 2020 v2</t>
  </si>
  <si>
    <t>NZL 2020 v1</t>
  </si>
  <si>
    <t>NOR 2020 v2</t>
  </si>
  <si>
    <t>POL 2020 v1</t>
  </si>
  <si>
    <t>PRT 2020 v1</t>
  </si>
  <si>
    <t>ROU 2020 v9</t>
  </si>
  <si>
    <t>RUS 2020 v3</t>
  </si>
  <si>
    <t>SVK 2020 v3</t>
  </si>
  <si>
    <t>SVN 2020 v5</t>
  </si>
  <si>
    <t>ESP 2020 v1</t>
  </si>
  <si>
    <t>SWE 2020 v3</t>
  </si>
  <si>
    <t>CHE 2020 v1</t>
  </si>
  <si>
    <t>TUR 2020 v1</t>
  </si>
  <si>
    <t>UKR 2020 v2</t>
  </si>
  <si>
    <t>GBR 2020 v1</t>
  </si>
  <si>
    <t>GBK 2020 v1</t>
  </si>
  <si>
    <t>USA 2020 v1</t>
  </si>
  <si>
    <t xml:space="preserve">Annual Total area, Area of mineral soil and Area of organic soil </t>
  </si>
  <si>
    <t>Query results for — Party: Australia and 44 other(s) | Year: Last Inventory Year (2018) | Category: 4.B.1  Cropland Remaining Cropland | Classification: Carbon stock change | Type of value: Total area and 2 other(s) | Gas: No gas | Unit: kha</t>
  </si>
  <si>
    <t>=somme.si('Area_CLCL'!E7:E51;"=1";'Area_CLCL'!b7:b51)</t>
  </si>
  <si>
    <t>Type of value</t>
  </si>
  <si>
    <t>Area of mineral soil</t>
  </si>
  <si>
    <t>Total area</t>
  </si>
  <si>
    <t>Area of organic soil</t>
  </si>
  <si>
    <t>Party \ Unit</t>
  </si>
  <si>
    <t>kha</t>
  </si>
  <si>
    <t>Australia</t>
  </si>
  <si>
    <t>IE</t>
  </si>
  <si>
    <t>Belarus</t>
  </si>
  <si>
    <t>Canada</t>
  </si>
  <si>
    <t>European Union (KP)</t>
  </si>
  <si>
    <t>Iceland</t>
  </si>
  <si>
    <t>Japan</t>
  </si>
  <si>
    <t>Kazakhstan</t>
  </si>
  <si>
    <t>Liechtenstein</t>
  </si>
  <si>
    <t>Monaco</t>
  </si>
  <si>
    <t>New Zealand</t>
  </si>
  <si>
    <t>Russian Federation</t>
  </si>
  <si>
    <t>Switzerland</t>
  </si>
  <si>
    <t>Turkey</t>
  </si>
  <si>
    <t>Ukraine</t>
  </si>
  <si>
    <t>United States of America</t>
  </si>
  <si>
    <t>Report produced on Friday, 27 November 2020, 10:35:41 CET</t>
  </si>
  <si>
    <t>Report produced on Thu Dec 03 2020 17:53:52 GMT+0100 (heure normale d’Europe centrale)</t>
  </si>
  <si>
    <t>4.  Land Use, Land-Use Change and Forestry → 4.C  Grassland → 4.C.1  Grassland Remaining Grassland → Carbon stock change</t>
  </si>
  <si>
    <t>[Grassland][Carbon stock change][Grassland][Implied carbon stock change factors][Mineral soils][Net carbon stock change in soils per area][t C/ha]</t>
  </si>
  <si>
    <t>BEL 2020 v4</t>
  </si>
  <si>
    <t>NO,IE</t>
  </si>
  <si>
    <t>Query results for — Party: Australia and 44 other(s) | Year: Last Inventory Year (2018) | Category: 4.C.1  Grassland Remaining Grassland | Classification: Carbon stock change | Type of value: Total area and 2 other(s) | Gas: No gas | Unit: kha</t>
  </si>
  <si>
    <t>Report produced on Friday, 27 November 2020, 14:47:01 CET</t>
  </si>
  <si>
    <t>Report produced on Thu Dec 03 2020 17:54:54 GMT+0100 (heure normale d’Europe centrale)</t>
  </si>
  <si>
    <t>4.  Land Use, Land-Use Change and Forestry → 4.A  Forest Land → 4.A.1  Forest Land Remaining Forest Land → Carbon stock change</t>
  </si>
  <si>
    <t>[Forest Land][Carbon stock change][Forest Land][Implied carbon stock change factors][Mineral soils][Net carbon stock change in soils per area][t C/ha]</t>
  </si>
  <si>
    <t>NA,NO</t>
  </si>
  <si>
    <t>Query results for — Party: Australia and 44 other(s) | Year: Last Inventory Year (2018) | Category: 4.A.1  Forest Land Remaining Forest Land | Classification: Carbon stock change | Type of value: Total area and 2 other(s) | Gas: No gas | Unit: kha</t>
  </si>
  <si>
    <t>Report produced on Friday, 27 November 2020, 14:49:24 CET</t>
  </si>
  <si>
    <t>Query results for — Party: Australia and 44 other(s) | Year: Last Inventory Year (2018) | Category: 4.D.1  Wetlands Remaining Wetlands | Classification: Carbon stock change | Type of value: Total area and 2 other(s) | Gas: No gas | Unit: kha</t>
  </si>
  <si>
    <t>NO,NE,IE</t>
  </si>
  <si>
    <t>Report produced on Friday, 27 November 2020, 14:50:24 CET</t>
  </si>
  <si>
    <t>Measurement-based
(Tier 3, soil inventory)</t>
  </si>
  <si>
    <t>Reporting type</t>
  </si>
  <si>
    <t>Modelling-based
(Tier 3, model)</t>
  </si>
  <si>
    <t>Yasso model with inputs from NFI</t>
  </si>
  <si>
    <t>Organic farming</t>
  </si>
  <si>
    <t>Not applicable</t>
  </si>
  <si>
    <t>Internal organic inputs (manure, …)</t>
  </si>
  <si>
    <t>Perennial crops</t>
  </si>
  <si>
    <t>Practices captured and impacting the reported soil carbon changes</t>
  </si>
  <si>
    <t>Effects captured and impacting the reported soil carbon changes</t>
  </si>
  <si>
    <t>Share mineral soils</t>
  </si>
  <si>
    <t>Substantial temporal variation in IEF (SD &gt; 0.01 tC/ha)</t>
  </si>
  <si>
    <t>Lower end</t>
  </si>
  <si>
    <t>Upper end</t>
  </si>
  <si>
    <t>Cropland (reported)</t>
  </si>
  <si>
    <t>Cropland (upscaled estimate)</t>
  </si>
  <si>
    <t>Middle</t>
  </si>
  <si>
    <t>Grassland (reported)</t>
  </si>
  <si>
    <t>Grassland (upscaled estimate)</t>
  </si>
  <si>
    <t>Forests (reported)</t>
  </si>
  <si>
    <t>Forests (upscaled estimate)</t>
  </si>
  <si>
    <t>Total (reported)</t>
  </si>
  <si>
    <t>Total (upscaled estimate)</t>
  </si>
  <si>
    <t>Total organic soils</t>
  </si>
  <si>
    <t>Wetland remaining wetland</t>
  </si>
  <si>
    <t>CRFII</t>
  </si>
  <si>
    <t>WLWL</t>
  </si>
  <si>
    <t>Total including wetlands</t>
  </si>
  <si>
    <t>GREENHOUSE GAS SOURCE AND SINK CATEGORIES</t>
  </si>
  <si>
    <r>
      <t>Subdivision</t>
    </r>
    <r>
      <rPr>
        <b/>
        <vertAlign val="superscript"/>
        <sz val="9"/>
        <rFont val="Times New Roman"/>
        <family val="1"/>
      </rPr>
      <t>(2)</t>
    </r>
  </si>
  <si>
    <t>ACTIVITY DATA</t>
  </si>
  <si>
    <r>
      <t>Land-use category</t>
    </r>
    <r>
      <rPr>
        <b/>
        <vertAlign val="superscript"/>
        <sz val="9"/>
        <rFont val="Times New Roman"/>
        <family val="1"/>
      </rPr>
      <t>(1)</t>
    </r>
  </si>
  <si>
    <t>(kha)</t>
  </si>
  <si>
    <t>Total for all land use categories</t>
  </si>
  <si>
    <r>
      <t>A. Forest land</t>
    </r>
    <r>
      <rPr>
        <b/>
        <vertAlign val="superscript"/>
        <sz val="9"/>
        <rFont val="Times New Roman"/>
        <family val="1"/>
      </rPr>
      <t>(5)</t>
    </r>
  </si>
  <si>
    <t>Drained organic soils</t>
  </si>
  <si>
    <t>Rewetted organic soils</t>
  </si>
  <si>
    <r>
      <t xml:space="preserve">Other </t>
    </r>
    <r>
      <rPr>
        <i/>
        <sz val="9"/>
        <rFont val="Times New Roman"/>
        <family val="1"/>
      </rPr>
      <t>(please specify)</t>
    </r>
  </si>
  <si>
    <t xml:space="preserve">Total mineral soils </t>
  </si>
  <si>
    <t>Rewetted mineral soils</t>
  </si>
  <si>
    <t>NA,NE,NO</t>
  </si>
  <si>
    <r>
      <t xml:space="preserve">B. Cropland </t>
    </r>
    <r>
      <rPr>
        <b/>
        <vertAlign val="superscript"/>
        <sz val="9"/>
        <rFont val="Times New Roman"/>
        <family val="1"/>
      </rPr>
      <t>(5), (6)</t>
    </r>
  </si>
  <si>
    <r>
      <t xml:space="preserve">C.  Grassland </t>
    </r>
    <r>
      <rPr>
        <b/>
        <vertAlign val="superscript"/>
        <sz val="9"/>
        <rFont val="Times New Roman"/>
        <family val="1"/>
      </rPr>
      <t>(5)</t>
    </r>
  </si>
  <si>
    <t>IE,NA,NE,NO</t>
  </si>
  <si>
    <r>
      <t>D. Wetlands</t>
    </r>
    <r>
      <rPr>
        <b/>
        <vertAlign val="superscript"/>
        <sz val="9"/>
        <rFont val="Times New Roman"/>
        <family val="1"/>
      </rPr>
      <t xml:space="preserve"> (5)</t>
    </r>
  </si>
  <si>
    <t>D.1 Peat extraction lands</t>
  </si>
  <si>
    <t>NO,NE,IE,NA</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</si>
  <si>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</si>
  <si>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</si>
  <si>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</si>
  <si>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t>EU 28</t>
  </si>
  <si>
    <t>UK</t>
  </si>
  <si>
    <t>Overseas Territories and Crown Dependencies - Nutrient-rich</t>
  </si>
  <si>
    <t>United Kingdom - Nutrient-rich</t>
  </si>
  <si>
    <t>United Kingdom - Nutrient-poor</t>
  </si>
  <si>
    <t>Overseas Territories and Crown Dependencies - Nutrient-poor</t>
  </si>
  <si>
    <t>Overseas Territories and Crown Dependencies</t>
  </si>
  <si>
    <t>Artificially Drained Organo-mineral Nutrient-poor</t>
  </si>
  <si>
    <t>Artificially Drained Mineral Soils</t>
  </si>
  <si>
    <t>Artificially Drained Organo-mineral Nutrient-rich</t>
  </si>
  <si>
    <t>NO,NE,NA</t>
  </si>
  <si>
    <t>NE,IE,NA</t>
  </si>
  <si>
    <t>NE,IE</t>
  </si>
  <si>
    <t>NE,NA</t>
  </si>
  <si>
    <t>Total CRFII</t>
  </si>
  <si>
    <t>Mineral soils</t>
  </si>
  <si>
    <t>Organic soils</t>
  </si>
  <si>
    <t>EU 27</t>
  </si>
  <si>
    <t>Tier 1 with no reported management changes</t>
  </si>
  <si>
    <t>Share of total EU cropland area</t>
  </si>
  <si>
    <t>Minimum</t>
  </si>
  <si>
    <t>Maximum</t>
  </si>
  <si>
    <t>Max
(250 €/tCO2)</t>
  </si>
  <si>
    <t>Min
(25€/tCO2)</t>
  </si>
  <si>
    <t>Cropland to grassland</t>
  </si>
  <si>
    <t>Griscom et al. 2017</t>
  </si>
  <si>
    <t>Potential (TgCO2e/yr)</t>
  </si>
  <si>
    <t>$/tCO2e</t>
  </si>
  <si>
    <t>GtCO2E/yr</t>
  </si>
  <si>
    <t>Oceania_Japan_Korea</t>
  </si>
  <si>
    <t>Europe_sup</t>
  </si>
  <si>
    <t>Europe_inf</t>
  </si>
  <si>
    <t>Doelman et al. 2019</t>
  </si>
  <si>
    <r>
      <t>2. Land converted to forest land</t>
    </r>
    <r>
      <rPr>
        <vertAlign val="superscript"/>
        <sz val="9"/>
        <rFont val="Times New Roman"/>
        <family val="1"/>
      </rPr>
      <t>(8)</t>
    </r>
  </si>
  <si>
    <t>EUA, 2021</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</si>
  <si>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</si>
  <si>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</si>
  <si>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</si>
  <si>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mineral soil</t>
    </r>
    <r>
      <rPr>
        <b/>
        <vertAlign val="superscript"/>
        <sz val="9"/>
        <rFont val="Times New Roman"/>
        <family val="1"/>
      </rPr>
      <t xml:space="preserve">
</t>
    </r>
    <r>
      <rPr>
        <b/>
        <sz val="9"/>
        <rFont val="Times New Roman"/>
        <family val="1"/>
      </rPr>
      <t>(kha)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</si>
  <si>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</si>
  <si>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</si>
  <si>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</si>
  <si>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</si>
  <si>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</si>
  <si>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t>Gains</t>
  </si>
  <si>
    <t>Losses</t>
  </si>
  <si>
    <t>Net change</t>
  </si>
  <si>
    <r>
      <t>Mineral soils</t>
    </r>
    <r>
      <rPr>
        <b/>
        <vertAlign val="superscript"/>
        <sz val="9"/>
        <rFont val="Times New Roman"/>
        <family val="1"/>
      </rPr>
      <t>(5)</t>
    </r>
  </si>
  <si>
    <t>(t C/ha)</t>
  </si>
  <si>
    <t>Soil C storage (MtCO2/yr)</t>
  </si>
  <si>
    <t>EU-27</t>
  </si>
  <si>
    <t>Soil share</t>
  </si>
  <si>
    <t>Management practices</t>
  </si>
  <si>
    <t>Land-use changes</t>
  </si>
  <si>
    <t>Afforestation</t>
  </si>
  <si>
    <t>Doelman et al. (2019)</t>
  </si>
  <si>
    <t>Griscom et al. (2017)</t>
  </si>
  <si>
    <t>Conversion to grassland</t>
  </si>
  <si>
    <t>(3) upscaled</t>
  </si>
  <si>
    <t>(5)</t>
  </si>
  <si>
    <t>(7)</t>
  </si>
  <si>
    <t>(11)</t>
  </si>
  <si>
    <t>(10)</t>
  </si>
  <si>
    <t>All residues left on field</t>
  </si>
  <si>
    <t>Peatland restoration</t>
  </si>
  <si>
    <t>SOC change model in Austrian inventory</t>
  </si>
  <si>
    <t>Simulated SOC change (MgC/ha)</t>
  </si>
  <si>
    <t>Region</t>
  </si>
  <si>
    <t>Intermediate Alpine Ridge</t>
  </si>
  <si>
    <t>Foot hills</t>
  </si>
  <si>
    <t>Bohemian Massif</t>
  </si>
  <si>
    <t>Outer Alpine Ridge</t>
  </si>
  <si>
    <t>Inner Alps</t>
  </si>
  <si>
    <t>Calcareous Alps</t>
  </si>
  <si>
    <t>National average</t>
  </si>
  <si>
    <t>Source : Austrian NFAP, figure 15</t>
  </si>
  <si>
    <t>SOC change model in Swedish inventory</t>
  </si>
  <si>
    <t>Source : Swedish NFAP, figure 5</t>
  </si>
  <si>
    <t>Simulated SOC change (MtC)</t>
  </si>
  <si>
    <t>Model</t>
  </si>
  <si>
    <t>Inventory model, first period</t>
  </si>
  <si>
    <t>Inventory model, second period</t>
  </si>
  <si>
    <t>Yasso, first period</t>
  </si>
  <si>
    <t>Measured SOC change (MgC/ha)</t>
  </si>
  <si>
    <t>Measured SOC change (MtC)</t>
  </si>
  <si>
    <t>Reporting methods in EU GHG inventories and compilation of storage potential estimates at EU level</t>
  </si>
  <si>
    <t>This file contains the data supporting figures 3 and S1-S3 and tables 1 and 2.</t>
  </si>
  <si>
    <t>Practices captured_details</t>
  </si>
  <si>
    <t>Implied emission factor, its standard deviation, and practices captured by each national GHG inventory for each of the three main land categories (forest, cropland and grassland)</t>
  </si>
  <si>
    <t>Categories</t>
  </si>
  <si>
    <t>List of method types</t>
  </si>
  <si>
    <t>Reporting quality (table 2)</t>
  </si>
  <si>
    <t>Reporting methods for soils in European GHG inventories (2020 submissions)</t>
  </si>
  <si>
    <t>Practices captured (fig S1)</t>
  </si>
  <si>
    <t>Practices and effects captured by the 2020 GHG inventories for the three main land categories (forest, cropland and grassland)</t>
  </si>
  <si>
    <t>Estimates (table 1)</t>
  </si>
  <si>
    <t>Estimates of soil sequestration potentials at EU level</t>
  </si>
  <si>
    <t>Cover_crops</t>
  </si>
  <si>
    <t>Supporting data on cover crops area</t>
  </si>
  <si>
    <t>Model validations (fig S2 S3)</t>
  </si>
  <si>
    <t>Validation of models used for reporting soil carbon changes in GHG inventories</t>
  </si>
  <si>
    <t>Afforestation potential</t>
  </si>
  <si>
    <t>Supporting data on afforestation potential</t>
  </si>
  <si>
    <t>Following sheets</t>
  </si>
  <si>
    <t>Supporting data on implied emission factors and areas for the three main land categories (forest, cropland and grassland)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</si>
</sst>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00"/>
    <numFmt numFmtId="166" formatCode="_-* #,##0.00\ _F_-;\-* #,##0.00\ _F_-;_-* &quot;-&quot;??\ _F_-;_-@_-"/>
    <numFmt numFmtId="167" formatCode="#,##0.0000"/>
    <numFmt numFmtId="168" formatCode="0.0"/>
  </numFmts>
  <fonts count="84" x14ac:knownFonts="1">
    <font>
      <sz val="11"/>
      <color theme="1"/>
      <name val="Calibri"/>
      <family val="2"/>
      <scheme val="minor"/>
    </font>
    <font>
      <sz val="9"/>
      <color indexed="81"/>
      <name val="Tahoma"/>
      <family val="2"/>
    </font>
    <font>
      <b/>
      <sz val="11"/>
      <color theme="1"/>
      <name val="Calibri"/>
      <family val="2"/>
      <charset val="238"/>
      <scheme val="minor"/>
    </font>
    <font>
      <b/>
      <sz val="11"/>
      <name val="Calibri"/>
      <family val="2"/>
      <charset val="238"/>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12"/>
      <color indexed="8"/>
      <name val="Times New Roman"/>
      <family val="1"/>
    </font>
    <font>
      <sz val="12"/>
      <color indexed="8"/>
      <name val="Times New Roman"/>
      <family val="1"/>
    </font>
    <font>
      <sz val="11"/>
      <color indexed="8"/>
      <name val="Calibri"/>
      <family val="2"/>
    </font>
    <font>
      <b/>
      <sz val="10"/>
      <name val="Arial"/>
      <family val="2"/>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name val="Calibri"/>
      <family val="2"/>
    </font>
    <font>
      <b/>
      <sz val="9"/>
      <color indexed="81"/>
      <name val="Tahoma"/>
      <family val="2"/>
    </font>
    <font>
      <sz val="10"/>
      <color theme="1"/>
      <name val="Times New Roman"/>
      <family val="1"/>
    </font>
    <font>
      <sz val="9"/>
      <color rgb="FF000000"/>
      <name val="Calibri"/>
      <family val="2"/>
    </font>
    <font>
      <b/>
      <sz val="9"/>
      <color rgb="FF000000"/>
      <name val="Calibri"/>
      <family val="2"/>
    </font>
    <font>
      <vertAlign val="subscript"/>
      <sz val="9"/>
      <color rgb="FF000000"/>
      <name val="Calibri"/>
      <family val="2"/>
    </font>
    <font>
      <sz val="9"/>
      <name val="Arial"/>
      <family val="2"/>
    </font>
    <font>
      <b/>
      <sz val="9"/>
      <name val="Arial"/>
      <family val="2"/>
    </font>
    <font>
      <b/>
      <sz val="9"/>
      <color indexed="9"/>
      <name val="Arial"/>
      <family val="2"/>
    </font>
    <font>
      <sz val="9"/>
      <name val="Times New Roman"/>
      <family val="1"/>
      <charset val="238"/>
    </font>
    <font>
      <b/>
      <sz val="9"/>
      <color indexed="81"/>
      <name val="Tahoma"/>
      <family val="2"/>
      <charset val="238"/>
    </font>
    <font>
      <sz val="9"/>
      <color indexed="81"/>
      <name val="Tahoma"/>
      <family val="2"/>
      <charset val="238"/>
    </font>
    <font>
      <b/>
      <sz val="11"/>
      <name val="Calibri"/>
      <family val="2"/>
    </font>
    <font>
      <sz val="8"/>
      <name val="Calibri"/>
      <family val="2"/>
      <scheme val="minor"/>
    </font>
    <font>
      <sz val="10"/>
      <name val="Times New Roman"/>
      <family val="1"/>
    </font>
    <font>
      <b/>
      <vertAlign val="superscript"/>
      <sz val="9"/>
      <name val="Times New Roman"/>
      <family val="1"/>
    </font>
    <font>
      <b/>
      <sz val="9"/>
      <color indexed="8"/>
      <name val="Times New Roman"/>
      <family val="1"/>
    </font>
    <font>
      <sz val="9"/>
      <name val="Times New Roman"/>
      <family val="1"/>
      <charset val="204"/>
    </font>
    <font>
      <i/>
      <sz val="9"/>
      <name val="Times New Roman"/>
      <family val="1"/>
    </font>
    <font>
      <b/>
      <i/>
      <sz val="9"/>
      <name val="Times New Roman"/>
      <family val="1"/>
    </font>
    <font>
      <vertAlign val="superscript"/>
      <sz val="9"/>
      <name val="Times New Roman"/>
      <family val="1"/>
    </font>
    <font>
      <sz val="9"/>
      <name val="Times New Roman"/>
    </font>
    <font>
      <i/>
      <sz val="11"/>
      <color theme="1"/>
      <name val="Calibri"/>
      <family val="2"/>
      <scheme val="minor"/>
    </font>
    <font>
      <sz val="14"/>
      <color theme="1"/>
      <name val="Calibri"/>
      <family val="2"/>
      <scheme val="minor"/>
    </font>
  </fonts>
  <fills count="6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0" tint="-0.14999847407452621"/>
        <bgColor indexed="64"/>
      </patternFill>
    </fill>
    <fill>
      <patternFill patternType="solid">
        <fgColor rgb="FF4669AF"/>
      </patternFill>
    </fill>
    <fill>
      <patternFill patternType="solid">
        <fgColor rgb="FF0096DC"/>
      </patternFill>
    </fill>
    <fill>
      <patternFill patternType="mediumGray">
        <bgColor indexed="22"/>
      </patternFill>
    </fill>
    <fill>
      <patternFill patternType="solid">
        <fgColor rgb="FFDCE6F1"/>
      </patternFill>
    </fill>
    <fill>
      <patternFill patternType="solid">
        <fgColor rgb="FFF6F6F6"/>
      </patternFill>
    </fill>
    <fill>
      <patternFill patternType="solid">
        <fgColor rgb="FF969696"/>
      </patternFill>
    </fill>
    <fill>
      <patternFill patternType="solid">
        <fgColor rgb="FFFFFFFF"/>
      </patternFill>
    </fill>
    <fill>
      <patternFill patternType="solid">
        <fgColor theme="9"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B0B0B0"/>
      </left>
      <right style="thin">
        <color rgb="FFB0B0B0"/>
      </right>
      <top style="thin">
        <color rgb="FFB0B0B0"/>
      </top>
      <bottom style="thin">
        <color rgb="FFB0B0B0"/>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335">
    <xf numFmtId="0" fontId="0" fillId="0" borderId="0"/>
    <xf numFmtId="0" fontId="5" fillId="7" borderId="2" applyNumberFormat="0" applyAlignment="0" applyProtection="0"/>
    <xf numFmtId="0" fontId="12" fillId="0" borderId="0" applyNumberFormat="0" applyFill="0" applyBorder="0" applyAlignment="0" applyProtection="0"/>
    <xf numFmtId="0" fontId="13" fillId="0" borderId="0" applyNumberFormat="0">
      <alignment horizontal="right"/>
    </xf>
    <xf numFmtId="0" fontId="14" fillId="0" borderId="0"/>
    <xf numFmtId="0" fontId="15" fillId="0" borderId="0" applyNumberFormat="0" applyFill="0" applyBorder="0" applyProtection="0">
      <alignment horizontal="left" vertical="center"/>
    </xf>
    <xf numFmtId="0" fontId="16" fillId="27" borderId="0" applyBorder="0">
      <alignment horizontal="right" vertical="center"/>
    </xf>
    <xf numFmtId="0" fontId="16" fillId="27" borderId="5">
      <alignment horizontal="right" vertical="center"/>
    </xf>
    <xf numFmtId="0" fontId="14" fillId="0" borderId="0" applyNumberFormat="0" applyFont="0" applyFill="0" applyBorder="0" applyProtection="0">
      <alignment horizontal="left" vertical="center" indent="2"/>
    </xf>
    <xf numFmtId="0" fontId="16" fillId="27" borderId="0" applyBorder="0">
      <alignment horizontal="right" vertical="center"/>
    </xf>
    <xf numFmtId="0" fontId="16" fillId="0" borderId="0" applyBorder="0">
      <alignment horizontal="right" vertical="center"/>
    </xf>
    <xf numFmtId="0" fontId="14" fillId="28" borderId="0" applyNumberFormat="0" applyFont="0" applyBorder="0" applyAlignment="0" applyProtection="0"/>
    <xf numFmtId="0" fontId="14" fillId="0" borderId="0" applyNumberFormat="0" applyFont="0" applyFill="0" applyBorder="0" applyProtection="0">
      <alignment horizontal="left" vertical="center" indent="5"/>
    </xf>
    <xf numFmtId="0" fontId="16" fillId="0" borderId="1" applyNumberFormat="0" applyFill="0" applyAlignment="0" applyProtection="0"/>
    <xf numFmtId="0" fontId="13" fillId="0" borderId="12">
      <alignment horizontal="left" vertical="top" wrapText="1"/>
    </xf>
    <xf numFmtId="0" fontId="13" fillId="29" borderId="1">
      <alignment horizontal="right" vertical="center"/>
    </xf>
    <xf numFmtId="0" fontId="13" fillId="29" borderId="1">
      <alignment horizontal="right" vertical="center"/>
    </xf>
    <xf numFmtId="0" fontId="16" fillId="0" borderId="14">
      <alignment horizontal="left" vertical="center" wrapText="1" indent="2"/>
    </xf>
    <xf numFmtId="0" fontId="13" fillId="29" borderId="9">
      <alignment horizontal="right" vertical="center"/>
    </xf>
    <xf numFmtId="0" fontId="16" fillId="0" borderId="1">
      <alignment horizontal="right" vertical="center"/>
    </xf>
    <xf numFmtId="0" fontId="14" fillId="0" borderId="13"/>
    <xf numFmtId="0" fontId="18" fillId="27" borderId="1">
      <alignment horizontal="right" vertical="center"/>
    </xf>
    <xf numFmtId="0" fontId="16" fillId="28" borderId="1"/>
    <xf numFmtId="0" fontId="13" fillId="27" borderId="1">
      <alignment horizontal="right" vertical="center"/>
    </xf>
    <xf numFmtId="0" fontId="13" fillId="27" borderId="6">
      <alignment horizontal="right" vertical="center"/>
    </xf>
    <xf numFmtId="0" fontId="16" fillId="0" borderId="6">
      <alignment horizontal="right" vertical="center"/>
    </xf>
    <xf numFmtId="4" fontId="14" fillId="0" borderId="0"/>
    <xf numFmtId="0" fontId="13" fillId="29" borderId="10">
      <alignment horizontal="right" vertical="center"/>
    </xf>
    <xf numFmtId="0" fontId="13" fillId="29" borderId="6">
      <alignment horizontal="right" vertical="center"/>
    </xf>
    <xf numFmtId="0" fontId="13" fillId="29" borderId="8">
      <alignment horizontal="right" vertical="center"/>
    </xf>
    <xf numFmtId="4" fontId="13" fillId="29" borderId="9">
      <alignment horizontal="right" vertical="center"/>
    </xf>
    <xf numFmtId="0" fontId="16" fillId="0" borderId="0"/>
    <xf numFmtId="0" fontId="16" fillId="32" borderId="1">
      <alignment horizontal="right" vertical="center"/>
    </xf>
    <xf numFmtId="0" fontId="16" fillId="32" borderId="0" applyBorder="0">
      <alignment horizontal="right" vertical="center"/>
    </xf>
    <xf numFmtId="0" fontId="14" fillId="0" borderId="0"/>
    <xf numFmtId="0" fontId="14" fillId="31" borderId="1"/>
    <xf numFmtId="4" fontId="14" fillId="0" borderId="0"/>
    <xf numFmtId="4" fontId="16" fillId="0" borderId="1" applyFill="0" applyBorder="0" applyProtection="0">
      <alignment horizontal="right" vertical="center"/>
    </xf>
    <xf numFmtId="0" fontId="21" fillId="0" borderId="0" applyNumberFormat="0" applyFill="0" applyBorder="0" applyAlignment="0" applyProtection="0"/>
    <xf numFmtId="0" fontId="16" fillId="0" borderId="0"/>
    <xf numFmtId="4" fontId="14" fillId="0" borderId="0"/>
    <xf numFmtId="4" fontId="14" fillId="0" borderId="0"/>
    <xf numFmtId="0" fontId="4" fillId="0" borderId="0"/>
    <xf numFmtId="0" fontId="16" fillId="28" borderId="1"/>
    <xf numFmtId="0" fontId="13" fillId="29" borderId="9">
      <alignment horizontal="right" vertical="center"/>
    </xf>
    <xf numFmtId="0" fontId="6" fillId="8" borderId="3" applyNumberFormat="0" applyAlignment="0" applyProtection="0"/>
    <xf numFmtId="0" fontId="7" fillId="8"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4" fillId="9" borderId="0" applyNumberFormat="0" applyBorder="0" applyAlignment="0" applyProtection="0"/>
    <xf numFmtId="0" fontId="4" fillId="10"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1" fillId="26" borderId="0" applyNumberFormat="0" applyBorder="0" applyAlignment="0" applyProtection="0"/>
    <xf numFmtId="0" fontId="16" fillId="0" borderId="1" applyNumberFormat="0" applyFill="0" applyAlignment="0" applyProtection="0"/>
    <xf numFmtId="0" fontId="13" fillId="29" borderId="1">
      <alignment horizontal="right" vertical="center"/>
    </xf>
    <xf numFmtId="0" fontId="13" fillId="29" borderId="1">
      <alignment horizontal="right" vertical="center"/>
    </xf>
    <xf numFmtId="0" fontId="16" fillId="0" borderId="14">
      <alignment horizontal="left" vertical="center" wrapText="1" indent="2"/>
    </xf>
    <xf numFmtId="0" fontId="13" fillId="29" borderId="9">
      <alignment horizontal="right" vertical="center"/>
    </xf>
    <xf numFmtId="0" fontId="16" fillId="0" borderId="1">
      <alignment horizontal="right" vertical="center"/>
    </xf>
    <xf numFmtId="0" fontId="18" fillId="27" borderId="1">
      <alignment horizontal="right" vertical="center"/>
    </xf>
    <xf numFmtId="0" fontId="16" fillId="28" borderId="1"/>
    <xf numFmtId="0" fontId="13" fillId="27" borderId="1">
      <alignment horizontal="right" vertical="center"/>
    </xf>
    <xf numFmtId="0" fontId="13" fillId="29" borderId="8">
      <alignment horizontal="right" vertical="center"/>
    </xf>
    <xf numFmtId="0" fontId="20" fillId="0" borderId="0" applyNumberFormat="0" applyFill="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4" fillId="0" borderId="0" applyNumberFormat="0" applyFont="0" applyFill="0" applyBorder="0" applyProtection="0">
      <alignment horizontal="left" vertical="center" indent="2"/>
    </xf>
    <xf numFmtId="0" fontId="14" fillId="0" borderId="0" applyNumberFormat="0" applyFont="0" applyFill="0" applyBorder="0" applyProtection="0">
      <alignment horizontal="left" vertical="center" indent="2"/>
    </xf>
    <xf numFmtId="49" fontId="16" fillId="0" borderId="1" applyNumberFormat="0" applyFont="0" applyFill="0" applyBorder="0" applyProtection="0">
      <alignment horizontal="left" vertical="center" indent="2"/>
    </xf>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14" fillId="0" borderId="0" applyNumberFormat="0" applyFont="0" applyFill="0" applyBorder="0" applyProtection="0">
      <alignment horizontal="left" vertical="center" indent="5"/>
    </xf>
    <xf numFmtId="0" fontId="14" fillId="0" borderId="0" applyNumberFormat="0" applyFont="0" applyFill="0" applyBorder="0" applyProtection="0">
      <alignment horizontal="left" vertical="center" indent="5"/>
    </xf>
    <xf numFmtId="49" fontId="16" fillId="0" borderId="8" applyNumberFormat="0" applyFont="0" applyFill="0" applyBorder="0" applyProtection="0">
      <alignment horizontal="left" vertical="center" indent="5"/>
    </xf>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5" fillId="32" borderId="0" applyBorder="0" applyAlignment="0"/>
    <xf numFmtId="4" fontId="15" fillId="32" borderId="0" applyBorder="0" applyAlignment="0"/>
    <xf numFmtId="4" fontId="16" fillId="32" borderId="0" applyBorder="0">
      <alignment horizontal="right" vertical="center"/>
    </xf>
    <xf numFmtId="4" fontId="16" fillId="27" borderId="0" applyBorder="0">
      <alignment horizontal="right" vertical="center"/>
    </xf>
    <xf numFmtId="4" fontId="16" fillId="27" borderId="0" applyBorder="0">
      <alignment horizontal="right" vertical="center"/>
    </xf>
    <xf numFmtId="4" fontId="13" fillId="27" borderId="1">
      <alignment horizontal="right" vertical="center"/>
    </xf>
    <xf numFmtId="4" fontId="18" fillId="27" borderId="1">
      <alignment horizontal="right" vertical="center"/>
    </xf>
    <xf numFmtId="4" fontId="13" fillId="29" borderId="1">
      <alignment horizontal="right" vertical="center"/>
    </xf>
    <xf numFmtId="4" fontId="13" fillId="29" borderId="1">
      <alignment horizontal="right" vertical="center"/>
    </xf>
    <xf numFmtId="4" fontId="13" fillId="29" borderId="8">
      <alignment horizontal="right" vertical="center"/>
    </xf>
    <xf numFmtId="4" fontId="13" fillId="29" borderId="9">
      <alignment horizontal="right" vertical="center"/>
    </xf>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6" fillId="34" borderId="0" applyNumberFormat="0" applyBorder="0" applyAlignment="0" applyProtection="0"/>
    <xf numFmtId="4" fontId="15" fillId="0" borderId="7" applyFill="0" applyBorder="0" applyProtection="0">
      <alignment horizontal="right" vertical="center"/>
    </xf>
    <xf numFmtId="0" fontId="28" fillId="51" borderId="16" applyNumberFormat="0" applyAlignment="0" applyProtection="0"/>
    <xf numFmtId="0" fontId="29" fillId="52" borderId="17" applyNumberFormat="0" applyAlignment="0" applyProtection="0"/>
    <xf numFmtId="164" fontId="19" fillId="0" borderId="0" applyFont="0" applyFill="0" applyBorder="0" applyAlignment="0" applyProtection="0"/>
    <xf numFmtId="166" fontId="30" fillId="0" borderId="0" applyFont="0" applyFill="0" applyBorder="0" applyAlignment="0" applyProtection="0"/>
    <xf numFmtId="164" fontId="19" fillId="0" borderId="0" applyFont="0" applyFill="0" applyBorder="0" applyAlignment="0" applyProtection="0"/>
    <xf numFmtId="0" fontId="16" fillId="29" borderId="14">
      <alignment horizontal="left" vertical="center" wrapText="1" indent="2"/>
    </xf>
    <xf numFmtId="0" fontId="16" fillId="27" borderId="8">
      <alignment horizontal="left" vertical="center"/>
    </xf>
    <xf numFmtId="0" fontId="34" fillId="0" borderId="0" applyNumberFormat="0" applyFill="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38" borderId="16" applyNumberFormat="0" applyAlignment="0" applyProtection="0"/>
    <xf numFmtId="4" fontId="16" fillId="0" borderId="0" applyBorder="0">
      <alignment horizontal="right" vertical="center"/>
    </xf>
    <xf numFmtId="0" fontId="16" fillId="0" borderId="11">
      <alignment horizontal="right" vertical="center"/>
    </xf>
    <xf numFmtId="4" fontId="16" fillId="0" borderId="1">
      <alignment horizontal="right" vertical="center"/>
    </xf>
    <xf numFmtId="1" fontId="17" fillId="27" borderId="0" applyBorder="0">
      <alignment horizontal="right" vertical="center"/>
    </xf>
    <xf numFmtId="0" fontId="41" fillId="0" borderId="22" applyNumberFormat="0" applyFill="0" applyAlignment="0" applyProtection="0"/>
    <xf numFmtId="0" fontId="42" fillId="53" borderId="0" applyNumberFormat="0" applyBorder="0" applyAlignment="0" applyProtection="0"/>
    <xf numFmtId="0" fontId="14" fillId="0" borderId="0"/>
    <xf numFmtId="0" fontId="14" fillId="0" borderId="0"/>
    <xf numFmtId="0" fontId="14" fillId="0" borderId="0"/>
    <xf numFmtId="0" fontId="14" fillId="0" borderId="0"/>
    <xf numFmtId="0" fontId="30" fillId="0" borderId="0"/>
    <xf numFmtId="4" fontId="43" fillId="0" borderId="0"/>
    <xf numFmtId="0" fontId="14" fillId="0" borderId="0"/>
    <xf numFmtId="0" fontId="14" fillId="0" borderId="0"/>
    <xf numFmtId="0" fontId="14" fillId="0" borderId="0"/>
    <xf numFmtId="0" fontId="14" fillId="0" borderId="0"/>
    <xf numFmtId="0" fontId="4" fillId="0" borderId="0"/>
    <xf numFmtId="4" fontId="16" fillId="0" borderId="0" applyFill="0" applyBorder="0" applyProtection="0">
      <alignment horizontal="right" vertical="center"/>
    </xf>
    <xf numFmtId="4" fontId="16" fillId="0" borderId="0" applyFill="0" applyBorder="0" applyProtection="0">
      <alignment horizontal="right" vertical="center"/>
    </xf>
    <xf numFmtId="4" fontId="16" fillId="0" borderId="1" applyFill="0" applyBorder="0" applyProtection="0">
      <alignment horizontal="right" vertical="center"/>
    </xf>
    <xf numFmtId="0" fontId="15" fillId="0" borderId="0" applyNumberFormat="0" applyFill="0" applyBorder="0" applyProtection="0">
      <alignment horizontal="left" vertical="center"/>
    </xf>
    <xf numFmtId="49" fontId="15" fillId="0" borderId="1" applyNumberFormat="0" applyFill="0" applyBorder="0" applyProtection="0">
      <alignment horizontal="left" vertical="center"/>
    </xf>
    <xf numFmtId="0" fontId="14" fillId="28" borderId="0" applyNumberFormat="0" applyFont="0" applyBorder="0" applyAlignment="0" applyProtection="0"/>
    <xf numFmtId="4" fontId="14" fillId="28" borderId="0" applyNumberFormat="0" applyFont="0" applyBorder="0" applyAlignment="0" applyProtection="0"/>
    <xf numFmtId="4" fontId="14" fillId="28" borderId="0" applyNumberFormat="0" applyFont="0" applyBorder="0" applyAlignment="0" applyProtection="0"/>
    <xf numFmtId="0" fontId="14" fillId="28" borderId="0" applyNumberFormat="0" applyFont="0" applyBorder="0" applyAlignment="0" applyProtection="0"/>
    <xf numFmtId="0" fontId="14" fillId="28" borderId="0" applyNumberFormat="0" applyFont="0" applyBorder="0" applyAlignment="0" applyProtection="0"/>
    <xf numFmtId="0" fontId="30" fillId="30" borderId="0" applyNumberFormat="0" applyFont="0" applyBorder="0" applyAlignment="0" applyProtection="0"/>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167" fontId="16" fillId="55" borderId="1" applyNumberFormat="0" applyFont="0" applyBorder="0" applyAlignment="0" applyProtection="0">
      <alignment horizontal="right" vertical="center"/>
    </xf>
    <xf numFmtId="9" fontId="30" fillId="0" borderId="0" applyFont="0" applyFill="0" applyBorder="0" applyAlignment="0" applyProtection="0"/>
    <xf numFmtId="0" fontId="45" fillId="34" borderId="0" applyNumberFormat="0" applyBorder="0" applyAlignment="0" applyProtection="0"/>
    <xf numFmtId="4" fontId="16" fillId="28" borderId="1"/>
    <xf numFmtId="0" fontId="16" fillId="28" borderId="6"/>
    <xf numFmtId="0" fontId="46" fillId="0" borderId="0" applyNumberFormat="0" applyFill="0" applyBorder="0" applyAlignment="0" applyProtection="0"/>
    <xf numFmtId="0" fontId="47" fillId="0" borderId="18" applyNumberFormat="0" applyFill="0" applyAlignment="0" applyProtection="0"/>
    <xf numFmtId="0" fontId="48" fillId="0" borderId="0" applyNumberFormat="0" applyFill="0" applyBorder="0" applyAlignment="0" applyProtection="0"/>
    <xf numFmtId="0" fontId="49" fillId="0" borderId="19" applyNumberFormat="0" applyFill="0" applyAlignment="0" applyProtection="0"/>
    <xf numFmtId="0" fontId="50" fillId="0" borderId="20" applyNumberFormat="0" applyFill="0" applyAlignment="0" applyProtection="0"/>
    <xf numFmtId="0" fontId="51" fillId="0" borderId="21" applyNumberFormat="0" applyFill="0" applyAlignment="0" applyProtection="0"/>
    <xf numFmtId="0" fontId="51" fillId="0" borderId="0" applyNumberFormat="0" applyFill="0" applyBorder="0" applyAlignment="0" applyProtection="0"/>
    <xf numFmtId="0" fontId="52" fillId="0" borderId="22" applyNumberFormat="0" applyFill="0" applyAlignment="0" applyProtection="0"/>
    <xf numFmtId="0" fontId="54" fillId="0" borderId="0" applyNumberFormat="0" applyFill="0" applyBorder="0" applyAlignment="0" applyProtection="0"/>
    <xf numFmtId="0" fontId="55" fillId="52" borderId="17" applyNumberFormat="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14" fillId="0" borderId="0" applyNumberFormat="0" applyFont="0" applyFill="0" applyBorder="0" applyProtection="0">
      <alignment horizontal="left" vertical="center"/>
    </xf>
    <xf numFmtId="0" fontId="16" fillId="27" borderId="0" applyBorder="0">
      <alignment horizontal="right" vertical="center"/>
    </xf>
    <xf numFmtId="0" fontId="16" fillId="27" borderId="0" applyBorder="0">
      <alignment horizontal="right" vertical="center"/>
    </xf>
    <xf numFmtId="0" fontId="16" fillId="0" borderId="0" applyBorder="0">
      <alignment horizontal="right" vertical="center"/>
    </xf>
    <xf numFmtId="4" fontId="14" fillId="0" borderId="0"/>
    <xf numFmtId="0" fontId="57" fillId="0" borderId="0"/>
    <xf numFmtId="0" fontId="14" fillId="28" borderId="0" applyNumberFormat="0" applyFont="0" applyBorder="0" applyAlignment="0" applyProtection="0"/>
    <xf numFmtId="0" fontId="21" fillId="0" borderId="0" applyNumberFormat="0" applyFill="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6" fillId="34" borderId="0" applyNumberFormat="0" applyBorder="0" applyAlignment="0" applyProtection="0"/>
    <xf numFmtId="0" fontId="28" fillId="51" borderId="16" applyNumberFormat="0" applyAlignment="0" applyProtection="0"/>
    <xf numFmtId="0" fontId="29" fillId="52" borderId="17" applyNumberFormat="0" applyAlignment="0" applyProtection="0"/>
    <xf numFmtId="0" fontId="34" fillId="0" borderId="0" applyNumberFormat="0" applyFill="0" applyBorder="0" applyAlignment="0" applyProtection="0"/>
    <xf numFmtId="0" fontId="35" fillId="35"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38" borderId="16" applyNumberFormat="0" applyAlignment="0" applyProtection="0"/>
    <xf numFmtId="0" fontId="41" fillId="0" borderId="22" applyNumberFormat="0" applyFill="0" applyAlignment="0" applyProtection="0"/>
    <xf numFmtId="0" fontId="42" fillId="53" borderId="0" applyNumberFormat="0" applyBorder="0" applyAlignment="0" applyProtection="0"/>
    <xf numFmtId="0" fontId="14" fillId="0" borderId="0"/>
    <xf numFmtId="0" fontId="22" fillId="54" borderId="23" applyNumberFormat="0" applyFont="0" applyAlignment="0" applyProtection="0"/>
    <xf numFmtId="0" fontId="44" fillId="51" borderId="15" applyNumberFormat="0" applyAlignment="0" applyProtection="0"/>
    <xf numFmtId="0" fontId="46" fillId="0" borderId="0" applyNumberFormat="0" applyFill="0" applyBorder="0" applyAlignment="0" applyProtection="0"/>
    <xf numFmtId="0" fontId="47" fillId="0" borderId="18" applyNumberFormat="0" applyFill="0" applyAlignment="0" applyProtection="0"/>
    <xf numFmtId="0" fontId="54" fillId="0" borderId="0" applyNumberFormat="0" applyFill="0" applyBorder="0" applyAlignment="0" applyProtection="0"/>
    <xf numFmtId="0" fontId="58" fillId="0" borderId="0">
      <alignment horizontal="left" vertical="center" indent="1"/>
    </xf>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13" fillId="29" borderId="25">
      <alignment horizontal="right" vertical="center"/>
    </xf>
    <xf numFmtId="4" fontId="13" fillId="29" borderId="25">
      <alignment horizontal="right" vertical="center"/>
    </xf>
    <xf numFmtId="0" fontId="13" fillId="29" borderId="26">
      <alignment horizontal="right" vertical="center"/>
    </xf>
    <xf numFmtId="4" fontId="13" fillId="29" borderId="26">
      <alignment horizontal="right" vertical="center"/>
    </xf>
    <xf numFmtId="0" fontId="28"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7" borderId="25">
      <alignment horizontal="left" vertical="center"/>
    </xf>
    <xf numFmtId="0" fontId="34" fillId="0" borderId="0" applyNumberFormat="0" applyFill="0" applyBorder="0" applyAlignment="0" applyProtection="0"/>
    <xf numFmtId="0" fontId="40" fillId="38" borderId="16" applyNumberFormat="0" applyAlignment="0" applyProtection="0"/>
    <xf numFmtId="0" fontId="16" fillId="0" borderId="24">
      <alignment horizontal="right" vertical="center"/>
    </xf>
    <xf numFmtId="4" fontId="16" fillId="0" borderId="24">
      <alignment horizontal="right" vertical="center"/>
    </xf>
    <xf numFmtId="0" fontId="4" fillId="0" borderId="0"/>
    <xf numFmtId="0" fontId="16" fillId="0" borderId="24" applyNumberFormat="0" applyFill="0" applyAlignment="0" applyProtection="0"/>
    <xf numFmtId="0" fontId="44" fillId="51" borderId="15" applyNumberFormat="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0" fontId="47" fillId="0" borderId="18" applyNumberFormat="0" applyFill="0" applyAlignment="0" applyProtection="0"/>
    <xf numFmtId="0" fontId="5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7" borderId="2" applyNumberFormat="0" applyAlignment="0" applyProtection="0"/>
    <xf numFmtId="0" fontId="16" fillId="27" borderId="0" applyBorder="0">
      <alignment horizontal="right" vertical="center"/>
    </xf>
    <xf numFmtId="0" fontId="16" fillId="27" borderId="0" applyBorder="0">
      <alignment horizontal="right" vertical="center"/>
    </xf>
    <xf numFmtId="0" fontId="16" fillId="0" borderId="0" applyBorder="0">
      <alignment horizontal="right" vertical="center"/>
    </xf>
    <xf numFmtId="0" fontId="14" fillId="0" borderId="0"/>
    <xf numFmtId="49" fontId="16" fillId="0" borderId="24" applyNumberFormat="0" applyFont="0" applyFill="0" applyBorder="0" applyProtection="0">
      <alignment horizontal="left" vertical="center" indent="2"/>
    </xf>
    <xf numFmtId="49" fontId="16" fillId="0" borderId="25" applyNumberFormat="0" applyFont="0" applyFill="0" applyBorder="0" applyProtection="0">
      <alignment horizontal="left" vertical="center" indent="5"/>
    </xf>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36" fillId="35" borderId="0" applyNumberFormat="0" applyBorder="0" applyAlignment="0" applyProtection="0"/>
    <xf numFmtId="4" fontId="14" fillId="0" borderId="0"/>
    <xf numFmtId="0" fontId="14" fillId="0" borderId="0"/>
    <xf numFmtId="0" fontId="4" fillId="0" borderId="0"/>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4" fillId="28" borderId="0" applyNumberFormat="0" applyFont="0" applyBorder="0" applyAlignment="0" applyProtection="0"/>
    <xf numFmtId="0" fontId="45" fillId="34" borderId="0" applyNumberFormat="0" applyBorder="0" applyAlignment="0" applyProtection="0"/>
    <xf numFmtId="0" fontId="49" fillId="0" borderId="19" applyNumberFormat="0" applyFill="0" applyAlignment="0" applyProtection="0"/>
    <xf numFmtId="0" fontId="50" fillId="0" borderId="20" applyNumberFormat="0" applyFill="0" applyAlignment="0" applyProtection="0"/>
    <xf numFmtId="0" fontId="51" fillId="0" borderId="21" applyNumberFormat="0" applyFill="0" applyAlignment="0" applyProtection="0"/>
    <xf numFmtId="0" fontId="51" fillId="0" borderId="0" applyNumberFormat="0" applyFill="0" applyBorder="0" applyAlignment="0" applyProtection="0"/>
    <xf numFmtId="0" fontId="52" fillId="0" borderId="22" applyNumberFormat="0" applyFill="0" applyAlignment="0" applyProtection="0"/>
    <xf numFmtId="0" fontId="55" fillId="52" borderId="17" applyNumberFormat="0" applyAlignment="0" applyProtection="0"/>
    <xf numFmtId="0" fontId="21" fillId="0" borderId="0" applyNumberFormat="0" applyFill="0" applyBorder="0" applyAlignment="0" applyProtection="0"/>
    <xf numFmtId="0" fontId="4" fillId="0" borderId="0"/>
    <xf numFmtId="0" fontId="5" fillId="7" borderId="2" applyNumberFormat="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0" fontId="33" fillId="0" borderId="0" applyNumberFormat="0" applyFill="0" applyBorder="0" applyAlignment="0" applyProtection="0"/>
    <xf numFmtId="0" fontId="4" fillId="0" borderId="0"/>
    <xf numFmtId="0" fontId="53" fillId="0" borderId="0" applyNumberFormat="0" applyFill="0" applyBorder="0" applyAlignment="0" applyProtection="0"/>
    <xf numFmtId="0" fontId="4" fillId="0" borderId="0"/>
    <xf numFmtId="0" fontId="4" fillId="0" borderId="0"/>
    <xf numFmtId="0" fontId="4" fillId="0" borderId="0"/>
    <xf numFmtId="49" fontId="16" fillId="0" borderId="1" applyNumberFormat="0" applyFont="0" applyFill="0" applyBorder="0" applyProtection="0">
      <alignment horizontal="left" vertical="center" indent="2"/>
    </xf>
    <xf numFmtId="49" fontId="16" fillId="0" borderId="8" applyNumberFormat="0" applyFont="0" applyFill="0" applyBorder="0" applyProtection="0">
      <alignment horizontal="left" vertical="center" indent="5"/>
    </xf>
    <xf numFmtId="0" fontId="13" fillId="27" borderId="1">
      <alignment horizontal="right" vertical="center"/>
    </xf>
    <xf numFmtId="4" fontId="13" fillId="27" borderId="1">
      <alignment horizontal="right" vertical="center"/>
    </xf>
    <xf numFmtId="0" fontId="18" fillId="27" borderId="1">
      <alignment horizontal="right" vertical="center"/>
    </xf>
    <xf numFmtId="4" fontId="18" fillId="27" borderId="1">
      <alignment horizontal="right" vertical="center"/>
    </xf>
    <xf numFmtId="0" fontId="13" fillId="29" borderId="1">
      <alignment horizontal="right" vertical="center"/>
    </xf>
    <xf numFmtId="4" fontId="13" fillId="29" borderId="1">
      <alignment horizontal="right" vertical="center"/>
    </xf>
    <xf numFmtId="0" fontId="13" fillId="29" borderId="1">
      <alignment horizontal="right" vertical="center"/>
    </xf>
    <xf numFmtId="4" fontId="13" fillId="29" borderId="1">
      <alignment horizontal="right" vertical="center"/>
    </xf>
    <xf numFmtId="0" fontId="13" fillId="29" borderId="8">
      <alignment horizontal="right" vertical="center"/>
    </xf>
    <xf numFmtId="4" fontId="13" fillId="29" borderId="8">
      <alignment horizontal="right" vertical="center"/>
    </xf>
    <xf numFmtId="0" fontId="13" fillId="29" borderId="9">
      <alignment horizontal="right" vertical="center"/>
    </xf>
    <xf numFmtId="4" fontId="13" fillId="29" borderId="9">
      <alignment horizontal="right" vertical="center"/>
    </xf>
    <xf numFmtId="166" fontId="59" fillId="0" borderId="0" applyFont="0" applyFill="0" applyBorder="0" applyAlignment="0" applyProtection="0"/>
    <xf numFmtId="0" fontId="16" fillId="29" borderId="14">
      <alignment horizontal="left" vertical="center" wrapText="1" indent="2"/>
    </xf>
    <xf numFmtId="0" fontId="16" fillId="0" borderId="14">
      <alignment horizontal="left" vertical="center" wrapText="1" indent="2"/>
    </xf>
    <xf numFmtId="0" fontId="16" fillId="27" borderId="8">
      <alignment horizontal="left" vertical="center"/>
    </xf>
    <xf numFmtId="0" fontId="31" fillId="38" borderId="16" applyNumberFormat="0" applyAlignment="0" applyProtection="0"/>
    <xf numFmtId="0" fontId="16" fillId="0" borderId="1">
      <alignment horizontal="right" vertical="center"/>
    </xf>
    <xf numFmtId="4" fontId="16" fillId="0" borderId="1">
      <alignment horizontal="right" vertical="center"/>
    </xf>
    <xf numFmtId="0" fontId="59" fillId="0" borderId="0"/>
    <xf numFmtId="0" fontId="57" fillId="0" borderId="0"/>
    <xf numFmtId="0" fontId="57" fillId="0" borderId="0"/>
    <xf numFmtId="0" fontId="4" fillId="0" borderId="0"/>
    <xf numFmtId="0" fontId="4" fillId="0" borderId="0"/>
    <xf numFmtId="0" fontId="4" fillId="0" borderId="0"/>
    <xf numFmtId="0" fontId="4" fillId="0" borderId="0"/>
    <xf numFmtId="0" fontId="57" fillId="0" borderId="0"/>
    <xf numFmtId="0" fontId="14" fillId="0" borderId="0"/>
    <xf numFmtId="4" fontId="16" fillId="0" borderId="1" applyFill="0" applyBorder="0" applyProtection="0">
      <alignment horizontal="right" vertical="center"/>
    </xf>
    <xf numFmtId="49" fontId="15" fillId="0" borderId="1" applyNumberFormat="0" applyFill="0" applyBorder="0" applyProtection="0">
      <alignment horizontal="left" vertical="center"/>
    </xf>
    <xf numFmtId="0" fontId="16" fillId="0" borderId="1" applyNumberFormat="0" applyFill="0" applyAlignment="0" applyProtection="0"/>
    <xf numFmtId="0" fontId="59" fillId="30" borderId="0" applyNumberFormat="0" applyFont="0" applyBorder="0" applyAlignment="0" applyProtection="0"/>
    <xf numFmtId="167" fontId="16" fillId="55" borderId="1" applyNumberFormat="0" applyFont="0" applyBorder="0" applyAlignment="0" applyProtection="0">
      <alignment horizontal="right" vertical="center"/>
    </xf>
    <xf numFmtId="9" fontId="59" fillId="0" borderId="0" applyFont="0" applyFill="0" applyBorder="0" applyAlignment="0" applyProtection="0"/>
    <xf numFmtId="0" fontId="16" fillId="28" borderId="1"/>
    <xf numFmtId="4" fontId="16" fillId="28" borderId="1"/>
    <xf numFmtId="0" fontId="16" fillId="29" borderId="27">
      <alignment horizontal="left" vertical="center" wrapText="1" indent="2"/>
    </xf>
    <xf numFmtId="0" fontId="16" fillId="0" borderId="27">
      <alignment horizontal="left" vertical="center" wrapText="1" indent="2"/>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29" borderId="14">
      <alignment horizontal="left" vertical="center" wrapText="1" indent="2"/>
    </xf>
    <xf numFmtId="0" fontId="16" fillId="0" borderId="14">
      <alignment horizontal="left" vertical="center" wrapText="1" indent="2"/>
    </xf>
    <xf numFmtId="0" fontId="14" fillId="0" borderId="0"/>
    <xf numFmtId="4" fontId="13" fillId="29" borderId="24">
      <alignment horizontal="right" vertical="center"/>
    </xf>
    <xf numFmtId="0" fontId="16" fillId="28" borderId="24"/>
    <xf numFmtId="0" fontId="27" fillId="51" borderId="16" applyNumberFormat="0" applyAlignment="0" applyProtection="0"/>
    <xf numFmtId="0" fontId="13" fillId="27" borderId="24">
      <alignment horizontal="right" vertical="center"/>
    </xf>
    <xf numFmtId="0" fontId="16" fillId="0" borderId="24">
      <alignment horizontal="right" vertical="center"/>
    </xf>
    <xf numFmtId="0" fontId="47" fillId="0" borderId="18" applyNumberFormat="0" applyFill="0" applyAlignment="0" applyProtection="0"/>
    <xf numFmtId="0" fontId="16" fillId="27" borderId="25">
      <alignment horizontal="left" vertical="center"/>
    </xf>
    <xf numFmtId="0" fontId="40" fillId="38" borderId="16" applyNumberFormat="0" applyAlignment="0" applyProtection="0"/>
    <xf numFmtId="167" fontId="16" fillId="55" borderId="24" applyNumberFormat="0" applyFont="0" applyBorder="0" applyAlignment="0" applyProtection="0">
      <alignment horizontal="right" vertical="center"/>
    </xf>
    <xf numFmtId="0" fontId="22" fillId="54" borderId="23" applyNumberFormat="0" applyFont="0" applyAlignment="0" applyProtection="0"/>
    <xf numFmtId="0" fontId="16" fillId="0" borderId="27">
      <alignment horizontal="left" vertical="center" wrapText="1" indent="2"/>
    </xf>
    <xf numFmtId="4" fontId="16" fillId="28" borderId="24"/>
    <xf numFmtId="49" fontId="15" fillId="0" borderId="24" applyNumberFormat="0" applyFill="0" applyBorder="0" applyProtection="0">
      <alignment horizontal="left" vertical="center"/>
    </xf>
    <xf numFmtId="0" fontId="16" fillId="0" borderId="24">
      <alignment horizontal="right" vertical="center"/>
    </xf>
    <xf numFmtId="4" fontId="13" fillId="29" borderId="26">
      <alignment horizontal="right" vertical="center"/>
    </xf>
    <xf numFmtId="4" fontId="13" fillId="29" borderId="24">
      <alignment horizontal="right" vertical="center"/>
    </xf>
    <xf numFmtId="4" fontId="13" fillId="29" borderId="24">
      <alignment horizontal="right" vertical="center"/>
    </xf>
    <xf numFmtId="0" fontId="18" fillId="27" borderId="24">
      <alignment horizontal="right" vertical="center"/>
    </xf>
    <xf numFmtId="0" fontId="13" fillId="27" borderId="24">
      <alignment horizontal="right" vertical="center"/>
    </xf>
    <xf numFmtId="49" fontId="16" fillId="0" borderId="24" applyNumberFormat="0" applyFont="0" applyFill="0" applyBorder="0" applyProtection="0">
      <alignment horizontal="left" vertical="center" indent="2"/>
    </xf>
    <xf numFmtId="0" fontId="40" fillId="38" borderId="16" applyNumberFormat="0" applyAlignment="0" applyProtection="0"/>
    <xf numFmtId="0" fontId="25" fillId="51" borderId="15" applyNumberFormat="0" applyAlignment="0" applyProtection="0"/>
    <xf numFmtId="49" fontId="16" fillId="0" borderId="24" applyNumberFormat="0" applyFont="0" applyFill="0" applyBorder="0" applyProtection="0">
      <alignment horizontal="left" vertical="center" indent="2"/>
    </xf>
    <xf numFmtId="0" fontId="31" fillId="38" borderId="16" applyNumberFormat="0" applyAlignment="0" applyProtection="0"/>
    <xf numFmtId="4" fontId="16" fillId="0" borderId="24" applyFill="0" applyBorder="0" applyProtection="0">
      <alignment horizontal="right" vertical="center"/>
    </xf>
    <xf numFmtId="0" fontId="28" fillId="51" borderId="16" applyNumberFormat="0" applyAlignment="0" applyProtection="0"/>
    <xf numFmtId="0" fontId="47" fillId="0" borderId="18" applyNumberFormat="0" applyFill="0" applyAlignment="0" applyProtection="0"/>
    <xf numFmtId="0" fontId="44" fillId="51" borderId="15" applyNumberFormat="0" applyAlignment="0" applyProtection="0"/>
    <xf numFmtId="0" fontId="16" fillId="0" borderId="24" applyNumberFormat="0" applyFill="0" applyAlignment="0" applyProtection="0"/>
    <xf numFmtId="4" fontId="16" fillId="0" borderId="24">
      <alignment horizontal="right" vertical="center"/>
    </xf>
    <xf numFmtId="0" fontId="16" fillId="0" borderId="24">
      <alignment horizontal="right" vertical="center"/>
    </xf>
    <xf numFmtId="0" fontId="40" fillId="38" borderId="16" applyNumberFormat="0" applyAlignment="0" applyProtection="0"/>
    <xf numFmtId="0" fontId="25" fillId="51" borderId="15" applyNumberFormat="0" applyAlignment="0" applyProtection="0"/>
    <xf numFmtId="0" fontId="27" fillId="51" borderId="16" applyNumberFormat="0" applyAlignment="0" applyProtection="0"/>
    <xf numFmtId="0" fontId="16" fillId="29" borderId="27">
      <alignment horizontal="left" vertical="center" wrapText="1" indent="2"/>
    </xf>
    <xf numFmtId="0" fontId="28" fillId="51" borderId="16" applyNumberFormat="0" applyAlignment="0" applyProtection="0"/>
    <xf numFmtId="0" fontId="28" fillId="51" borderId="16" applyNumberFormat="0" applyAlignment="0" applyProtection="0"/>
    <xf numFmtId="4" fontId="13" fillId="29" borderId="25">
      <alignment horizontal="right" vertical="center"/>
    </xf>
    <xf numFmtId="0" fontId="13" fillId="29" borderId="25">
      <alignment horizontal="right" vertical="center"/>
    </xf>
    <xf numFmtId="0" fontId="13" fillId="29" borderId="24">
      <alignment horizontal="right" vertical="center"/>
    </xf>
    <xf numFmtId="4" fontId="18" fillId="27" borderId="24">
      <alignment horizontal="right" vertical="center"/>
    </xf>
    <xf numFmtId="0" fontId="31" fillId="38" borderId="16" applyNumberFormat="0" applyAlignment="0" applyProtection="0"/>
    <xf numFmtId="0" fontId="32" fillId="0" borderId="18" applyNumberFormat="0" applyFill="0" applyAlignment="0" applyProtection="0"/>
    <xf numFmtId="0" fontId="47" fillId="0" borderId="18" applyNumberFormat="0" applyFill="0" applyAlignment="0" applyProtection="0"/>
    <xf numFmtId="0" fontId="22" fillId="54" borderId="23" applyNumberFormat="0" applyFont="0" applyAlignment="0" applyProtection="0"/>
    <xf numFmtId="0" fontId="40" fillId="38" borderId="16" applyNumberFormat="0" applyAlignment="0" applyProtection="0"/>
    <xf numFmtId="49" fontId="15" fillId="0" borderId="24" applyNumberFormat="0" applyFill="0" applyBorder="0" applyProtection="0">
      <alignment horizontal="left" vertical="center"/>
    </xf>
    <xf numFmtId="0" fontId="16" fillId="29" borderId="27">
      <alignment horizontal="left" vertical="center" wrapText="1" indent="2"/>
    </xf>
    <xf numFmtId="0" fontId="28" fillId="51" borderId="16" applyNumberFormat="0" applyAlignment="0" applyProtection="0"/>
    <xf numFmtId="0" fontId="16" fillId="0" borderId="27">
      <alignment horizontal="left" vertical="center" wrapText="1" indent="2"/>
    </xf>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4" fontId="16" fillId="28" borderId="24"/>
    <xf numFmtId="0" fontId="13" fillId="29" borderId="24">
      <alignment horizontal="right" vertical="center"/>
    </xf>
    <xf numFmtId="0" fontId="47" fillId="0" borderId="18" applyNumberFormat="0" applyFill="0" applyAlignment="0" applyProtection="0"/>
    <xf numFmtId="4" fontId="13" fillId="29" borderId="26">
      <alignment horizontal="right" vertical="center"/>
    </xf>
    <xf numFmtId="0" fontId="27" fillId="51" borderId="16" applyNumberFormat="0" applyAlignment="0" applyProtection="0"/>
    <xf numFmtId="0" fontId="13" fillId="29" borderId="25">
      <alignment horizontal="right" vertical="center"/>
    </xf>
    <xf numFmtId="0" fontId="28" fillId="51" borderId="16" applyNumberFormat="0" applyAlignment="0" applyProtection="0"/>
    <xf numFmtId="0" fontId="32" fillId="0" borderId="18" applyNumberFormat="0" applyFill="0" applyAlignment="0" applyProtection="0"/>
    <xf numFmtId="0" fontId="22" fillId="54" borderId="23" applyNumberFormat="0" applyFont="0" applyAlignment="0" applyProtection="0"/>
    <xf numFmtId="4" fontId="13" fillId="29" borderId="25">
      <alignment horizontal="right" vertical="center"/>
    </xf>
    <xf numFmtId="0" fontId="16" fillId="29" borderId="27">
      <alignment horizontal="left" vertical="center" wrapText="1" indent="2"/>
    </xf>
    <xf numFmtId="0" fontId="16" fillId="28" borderId="24"/>
    <xf numFmtId="167" fontId="16" fillId="55" borderId="24" applyNumberFormat="0" applyFont="0" applyBorder="0" applyAlignment="0" applyProtection="0">
      <alignment horizontal="right" vertical="center"/>
    </xf>
    <xf numFmtId="0" fontId="16" fillId="0" borderId="24" applyNumberFormat="0" applyFill="0" applyAlignment="0" applyProtection="0"/>
    <xf numFmtId="4" fontId="16" fillId="0" borderId="24" applyFill="0" applyBorder="0" applyProtection="0">
      <alignment horizontal="right" vertical="center"/>
    </xf>
    <xf numFmtId="4" fontId="13" fillId="27" borderId="24">
      <alignment horizontal="right" vertical="center"/>
    </xf>
    <xf numFmtId="0" fontId="32" fillId="0" borderId="18" applyNumberFormat="0" applyFill="0" applyAlignment="0" applyProtection="0"/>
    <xf numFmtId="49" fontId="15" fillId="0" borderId="24" applyNumberFormat="0" applyFill="0" applyBorder="0" applyProtection="0">
      <alignment horizontal="left" vertical="center"/>
    </xf>
    <xf numFmtId="49" fontId="16" fillId="0" borderId="25" applyNumberFormat="0" applyFont="0" applyFill="0" applyBorder="0" applyProtection="0">
      <alignment horizontal="left" vertical="center" indent="5"/>
    </xf>
    <xf numFmtId="0" fontId="16" fillId="27" borderId="25">
      <alignment horizontal="left" vertical="center"/>
    </xf>
    <xf numFmtId="0" fontId="28" fillId="51" borderId="16" applyNumberFormat="0" applyAlignment="0" applyProtection="0"/>
    <xf numFmtId="4" fontId="13" fillId="29" borderId="26">
      <alignment horizontal="right" vertical="center"/>
    </xf>
    <xf numFmtId="0" fontId="40" fillId="38"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13" fillId="29" borderId="24">
      <alignment horizontal="right" vertical="center"/>
    </xf>
    <xf numFmtId="0" fontId="14" fillId="54" borderId="23" applyNumberFormat="0" applyFont="0" applyAlignment="0" applyProtection="0"/>
    <xf numFmtId="4" fontId="16" fillId="0" borderId="24">
      <alignment horizontal="right" vertical="center"/>
    </xf>
    <xf numFmtId="0" fontId="47" fillId="0" borderId="18" applyNumberFormat="0" applyFill="0" applyAlignment="0" applyProtection="0"/>
    <xf numFmtId="0" fontId="13" fillId="29" borderId="24">
      <alignment horizontal="right" vertical="center"/>
    </xf>
    <xf numFmtId="0" fontId="13" fillId="29" borderId="24">
      <alignment horizontal="right" vertical="center"/>
    </xf>
    <xf numFmtId="4" fontId="18" fillId="27" borderId="24">
      <alignment horizontal="right" vertical="center"/>
    </xf>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13" fillId="29" borderId="25">
      <alignment horizontal="right" vertical="center"/>
    </xf>
    <xf numFmtId="4" fontId="13" fillId="29" borderId="25">
      <alignment horizontal="right" vertical="center"/>
    </xf>
    <xf numFmtId="0" fontId="13" fillId="29" borderId="26">
      <alignment horizontal="right" vertical="center"/>
    </xf>
    <xf numFmtId="4" fontId="13" fillId="29" borderId="26">
      <alignment horizontal="right" vertical="center"/>
    </xf>
    <xf numFmtId="0" fontId="28"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7" borderId="25">
      <alignment horizontal="left" vertical="center"/>
    </xf>
    <xf numFmtId="0" fontId="40" fillId="38" borderId="16" applyNumberFormat="0" applyAlignment="0" applyProtection="0"/>
    <xf numFmtId="0" fontId="16" fillId="0" borderId="24">
      <alignment horizontal="right" vertical="center"/>
    </xf>
    <xf numFmtId="4" fontId="16" fillId="0" borderId="24">
      <alignment horizontal="right" vertical="center"/>
    </xf>
    <xf numFmtId="0" fontId="16" fillId="0" borderId="24" applyNumberFormat="0" applyFill="0" applyAlignment="0" applyProtection="0"/>
    <xf numFmtId="0" fontId="44" fillId="51" borderId="15" applyNumberFormat="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0" fontId="47" fillId="0" borderId="18" applyNumberFormat="0" applyFill="0" applyAlignment="0" applyProtection="0"/>
    <xf numFmtId="0" fontId="14" fillId="54" borderId="23" applyNumberFormat="0" applyFont="0" applyAlignment="0" applyProtection="0"/>
    <xf numFmtId="0" fontId="22" fillId="54" borderId="23" applyNumberFormat="0" applyFont="0" applyAlignment="0" applyProtection="0"/>
    <xf numFmtId="0" fontId="16" fillId="0" borderId="24" applyNumberFormat="0" applyFill="0" applyAlignment="0" applyProtection="0"/>
    <xf numFmtId="0" fontId="32" fillId="0" borderId="18" applyNumberFormat="0" applyFill="0" applyAlignment="0" applyProtection="0"/>
    <xf numFmtId="0" fontId="47" fillId="0" borderId="18" applyNumberFormat="0" applyFill="0" applyAlignment="0" applyProtection="0"/>
    <xf numFmtId="0" fontId="31" fillId="38" borderId="16" applyNumberFormat="0" applyAlignment="0" applyProtection="0"/>
    <xf numFmtId="0" fontId="28" fillId="51" borderId="16" applyNumberFormat="0" applyAlignment="0" applyProtection="0"/>
    <xf numFmtId="4" fontId="18" fillId="27" borderId="24">
      <alignment horizontal="right" vertical="center"/>
    </xf>
    <xf numFmtId="0" fontId="13" fillId="27" borderId="24">
      <alignment horizontal="right" vertical="center"/>
    </xf>
    <xf numFmtId="167" fontId="16" fillId="55" borderId="24" applyNumberFormat="0" applyFont="0" applyBorder="0" applyAlignment="0" applyProtection="0">
      <alignment horizontal="right" vertical="center"/>
    </xf>
    <xf numFmtId="0" fontId="32" fillId="0" borderId="18" applyNumberFormat="0" applyFill="0" applyAlignment="0" applyProtection="0"/>
    <xf numFmtId="49" fontId="16" fillId="0" borderId="24" applyNumberFormat="0" applyFont="0" applyFill="0" applyBorder="0" applyProtection="0">
      <alignment horizontal="left" vertical="center" indent="2"/>
    </xf>
    <xf numFmtId="49" fontId="16" fillId="0" borderId="25" applyNumberFormat="0" applyFont="0" applyFill="0" applyBorder="0" applyProtection="0">
      <alignment horizontal="left" vertical="center" indent="5"/>
    </xf>
    <xf numFmtId="49" fontId="16" fillId="0" borderId="24" applyNumberFormat="0" applyFont="0" applyFill="0" applyBorder="0" applyProtection="0">
      <alignment horizontal="left" vertical="center" indent="2"/>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6" fillId="0" borderId="27">
      <alignment horizontal="left" vertical="center" wrapText="1" indent="2"/>
    </xf>
    <xf numFmtId="0" fontId="44" fillId="51" borderId="15" applyNumberFormat="0" applyAlignment="0" applyProtection="0"/>
    <xf numFmtId="0" fontId="13" fillId="29" borderId="26">
      <alignment horizontal="right" vertical="center"/>
    </xf>
    <xf numFmtId="0" fontId="31" fillId="38" borderId="16" applyNumberFormat="0" applyAlignment="0" applyProtection="0"/>
    <xf numFmtId="0" fontId="13" fillId="29" borderId="26">
      <alignment horizontal="right" vertical="center"/>
    </xf>
    <xf numFmtId="4" fontId="13" fillId="29" borderId="24">
      <alignment horizontal="right" vertical="center"/>
    </xf>
    <xf numFmtId="0" fontId="13" fillId="29" borderId="24">
      <alignment horizontal="right" vertical="center"/>
    </xf>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0" fontId="16" fillId="28" borderId="24"/>
    <xf numFmtId="4" fontId="16" fillId="28" borderId="24"/>
    <xf numFmtId="4" fontId="13" fillId="29" borderId="24">
      <alignment horizontal="right" vertical="center"/>
    </xf>
    <xf numFmtId="0" fontId="18" fillId="27" borderId="24">
      <alignment horizontal="right" vertical="center"/>
    </xf>
    <xf numFmtId="0" fontId="31" fillId="38" borderId="16" applyNumberFormat="0" applyAlignment="0" applyProtection="0"/>
    <xf numFmtId="0" fontId="28" fillId="51" borderId="16" applyNumberFormat="0" applyAlignment="0" applyProtection="0"/>
    <xf numFmtId="4" fontId="16" fillId="0" borderId="24">
      <alignment horizontal="right" vertical="center"/>
    </xf>
    <xf numFmtId="0" fontId="16" fillId="29" borderId="27">
      <alignment horizontal="left" vertical="center" wrapText="1" indent="2"/>
    </xf>
    <xf numFmtId="0" fontId="16" fillId="0" borderId="27">
      <alignment horizontal="left" vertical="center" wrapText="1" indent="2"/>
    </xf>
    <xf numFmtId="0" fontId="44" fillId="51" borderId="15" applyNumberFormat="0" applyAlignment="0" applyProtection="0"/>
    <xf numFmtId="0" fontId="40" fillId="38" borderId="16" applyNumberFormat="0" applyAlignment="0" applyProtection="0"/>
    <xf numFmtId="0" fontId="27" fillId="51" borderId="16" applyNumberFormat="0" applyAlignment="0" applyProtection="0"/>
    <xf numFmtId="0" fontId="25" fillId="51" borderId="15" applyNumberFormat="0" applyAlignment="0" applyProtection="0"/>
    <xf numFmtId="0" fontId="13" fillId="29" borderId="26">
      <alignment horizontal="right" vertical="center"/>
    </xf>
    <xf numFmtId="0" fontId="18" fillId="27" borderId="24">
      <alignment horizontal="right" vertical="center"/>
    </xf>
    <xf numFmtId="4" fontId="13" fillId="27" borderId="24">
      <alignment horizontal="right" vertical="center"/>
    </xf>
    <xf numFmtId="4" fontId="13" fillId="29" borderId="24">
      <alignment horizontal="right" vertical="center"/>
    </xf>
    <xf numFmtId="49" fontId="16" fillId="0" borderId="25" applyNumberFormat="0" applyFont="0" applyFill="0" applyBorder="0" applyProtection="0">
      <alignment horizontal="left" vertical="center" indent="5"/>
    </xf>
    <xf numFmtId="4" fontId="16" fillId="0" borderId="24" applyFill="0" applyBorder="0" applyProtection="0">
      <alignment horizontal="right" vertical="center"/>
    </xf>
    <xf numFmtId="4" fontId="13" fillId="27" borderId="24">
      <alignment horizontal="right" vertical="center"/>
    </xf>
    <xf numFmtId="0" fontId="14" fillId="0" borderId="0"/>
    <xf numFmtId="0" fontId="40" fillId="38" borderId="16" applyNumberFormat="0" applyAlignment="0" applyProtection="0"/>
    <xf numFmtId="0" fontId="31" fillId="38" borderId="16" applyNumberFormat="0" applyAlignment="0" applyProtection="0"/>
    <xf numFmtId="0" fontId="27"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9" borderId="27">
      <alignment horizontal="left" vertical="center" wrapText="1" indent="2"/>
    </xf>
    <xf numFmtId="0" fontId="16" fillId="0" borderId="27">
      <alignment horizontal="left" vertical="center" wrapText="1" indent="2"/>
    </xf>
    <xf numFmtId="0" fontId="25" fillId="51" borderId="15" applyNumberFormat="0" applyAlignment="0" applyProtection="0"/>
    <xf numFmtId="0" fontId="27" fillId="51" borderId="16" applyNumberFormat="0" applyAlignment="0" applyProtection="0"/>
    <xf numFmtId="0" fontId="28" fillId="51" borderId="16" applyNumberFormat="0" applyAlignment="0" applyProtection="0"/>
    <xf numFmtId="0" fontId="31" fillId="38" borderId="16" applyNumberFormat="0" applyAlignment="0" applyProtection="0"/>
    <xf numFmtId="0" fontId="32" fillId="0" borderId="18" applyNumberFormat="0" applyFill="0" applyAlignment="0" applyProtection="0"/>
    <xf numFmtId="0" fontId="40" fillId="38" borderId="16" applyNumberFormat="0" applyAlignment="0" applyProtection="0"/>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28" fillId="51"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13" fillId="29" borderId="8">
      <alignment horizontal="right" vertical="center"/>
    </xf>
    <xf numFmtId="4" fontId="13" fillId="29" borderId="8">
      <alignment horizontal="right" vertical="center"/>
    </xf>
    <xf numFmtId="0" fontId="13" fillId="29" borderId="9">
      <alignment horizontal="right" vertical="center"/>
    </xf>
    <xf numFmtId="4" fontId="13" fillId="29" borderId="9">
      <alignment horizontal="right" vertical="center"/>
    </xf>
    <xf numFmtId="0" fontId="28" fillId="51" borderId="16" applyNumberFormat="0" applyAlignment="0" applyProtection="0"/>
    <xf numFmtId="0" fontId="16" fillId="29" borderId="14">
      <alignment horizontal="left" vertical="center" wrapText="1" indent="2"/>
    </xf>
    <xf numFmtId="0" fontId="16" fillId="0" borderId="14">
      <alignment horizontal="left" vertical="center" wrapText="1" indent="2"/>
    </xf>
    <xf numFmtId="0" fontId="16" fillId="27" borderId="8">
      <alignment horizontal="left" vertical="center"/>
    </xf>
    <xf numFmtId="0" fontId="40" fillId="38" borderId="16" applyNumberFormat="0" applyAlignment="0" applyProtection="0"/>
    <xf numFmtId="0" fontId="44" fillId="51" borderId="15" applyNumberFormat="0" applyAlignment="0" applyProtection="0"/>
    <xf numFmtId="0" fontId="47" fillId="0" borderId="18" applyNumberFormat="0" applyFill="0" applyAlignment="0" applyProtection="0"/>
    <xf numFmtId="49" fontId="16" fillId="0" borderId="8" applyNumberFormat="0" applyFont="0" applyFill="0" applyBorder="0" applyProtection="0">
      <alignment horizontal="left" vertical="center" indent="5"/>
    </xf>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49" fontId="16" fillId="0" borderId="24" applyNumberFormat="0" applyFont="0" applyFill="0" applyBorder="0" applyProtection="0">
      <alignment horizontal="left" vertical="center" indent="2"/>
    </xf>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31" fillId="38" borderId="16" applyNumberFormat="0" applyAlignment="0" applyProtection="0"/>
    <xf numFmtId="0" fontId="16" fillId="0" borderId="24">
      <alignment horizontal="right" vertical="center"/>
    </xf>
    <xf numFmtId="4" fontId="16" fillId="0" borderId="24">
      <alignment horizontal="right" vertical="center"/>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6" fillId="0" borderId="24" applyNumberFormat="0" applyFill="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4" fontId="13" fillId="29" borderId="24">
      <alignment horizontal="right" vertical="center"/>
    </xf>
    <xf numFmtId="0" fontId="16" fillId="28" borderId="24"/>
    <xf numFmtId="0" fontId="27" fillId="51" borderId="16" applyNumberFormat="0" applyAlignment="0" applyProtection="0"/>
    <xf numFmtId="0" fontId="13" fillId="27" borderId="24">
      <alignment horizontal="right" vertical="center"/>
    </xf>
    <xf numFmtId="0" fontId="16" fillId="0" borderId="24">
      <alignment horizontal="right" vertical="center"/>
    </xf>
    <xf numFmtId="0" fontId="47" fillId="0" borderId="18" applyNumberFormat="0" applyFill="0" applyAlignment="0" applyProtection="0"/>
    <xf numFmtId="0" fontId="16" fillId="27" borderId="25">
      <alignment horizontal="left" vertical="center"/>
    </xf>
    <xf numFmtId="0" fontId="40" fillId="38" borderId="16" applyNumberFormat="0" applyAlignment="0" applyProtection="0"/>
    <xf numFmtId="167" fontId="16" fillId="55" borderId="24" applyNumberFormat="0" applyFont="0" applyBorder="0" applyAlignment="0" applyProtection="0">
      <alignment horizontal="right" vertical="center"/>
    </xf>
    <xf numFmtId="0" fontId="22" fillId="54" borderId="23" applyNumberFormat="0" applyFont="0" applyAlignment="0" applyProtection="0"/>
    <xf numFmtId="0" fontId="16" fillId="0" borderId="27">
      <alignment horizontal="left" vertical="center" wrapText="1" indent="2"/>
    </xf>
    <xf numFmtId="4" fontId="16" fillId="28" borderId="24"/>
    <xf numFmtId="49" fontId="15" fillId="0" borderId="24" applyNumberFormat="0" applyFill="0" applyBorder="0" applyProtection="0">
      <alignment horizontal="left" vertical="center"/>
    </xf>
    <xf numFmtId="0" fontId="16" fillId="0" borderId="24">
      <alignment horizontal="right" vertical="center"/>
    </xf>
    <xf numFmtId="4" fontId="13" fillId="29" borderId="26">
      <alignment horizontal="right" vertical="center"/>
    </xf>
    <xf numFmtId="4" fontId="13" fillId="29" borderId="24">
      <alignment horizontal="right" vertical="center"/>
    </xf>
    <xf numFmtId="4" fontId="13" fillId="29" borderId="24">
      <alignment horizontal="right" vertical="center"/>
    </xf>
    <xf numFmtId="0" fontId="18" fillId="27" borderId="24">
      <alignment horizontal="right" vertical="center"/>
    </xf>
    <xf numFmtId="0" fontId="13" fillId="27" borderId="24">
      <alignment horizontal="right" vertical="center"/>
    </xf>
    <xf numFmtId="49" fontId="16" fillId="0" borderId="24" applyNumberFormat="0" applyFont="0" applyFill="0" applyBorder="0" applyProtection="0">
      <alignment horizontal="left" vertical="center" indent="2"/>
    </xf>
    <xf numFmtId="0" fontId="40" fillId="38" borderId="16" applyNumberFormat="0" applyAlignment="0" applyProtection="0"/>
    <xf numFmtId="0" fontId="25" fillId="51" borderId="15" applyNumberFormat="0" applyAlignment="0" applyProtection="0"/>
    <xf numFmtId="49" fontId="16" fillId="0" borderId="24" applyNumberFormat="0" applyFont="0" applyFill="0" applyBorder="0" applyProtection="0">
      <alignment horizontal="left" vertical="center" indent="2"/>
    </xf>
    <xf numFmtId="0" fontId="31" fillId="38" borderId="16" applyNumberFormat="0" applyAlignment="0" applyProtection="0"/>
    <xf numFmtId="4" fontId="16" fillId="0" borderId="24" applyFill="0" applyBorder="0" applyProtection="0">
      <alignment horizontal="right" vertical="center"/>
    </xf>
    <xf numFmtId="0" fontId="28" fillId="51" borderId="16" applyNumberFormat="0" applyAlignment="0" applyProtection="0"/>
    <xf numFmtId="0" fontId="47" fillId="0" borderId="18" applyNumberFormat="0" applyFill="0" applyAlignment="0" applyProtection="0"/>
    <xf numFmtId="0" fontId="44" fillId="51" borderId="15" applyNumberFormat="0" applyAlignment="0" applyProtection="0"/>
    <xf numFmtId="0" fontId="16" fillId="0" borderId="24" applyNumberFormat="0" applyFill="0" applyAlignment="0" applyProtection="0"/>
    <xf numFmtId="4" fontId="16" fillId="0" borderId="24">
      <alignment horizontal="right" vertical="center"/>
    </xf>
    <xf numFmtId="0" fontId="16" fillId="0" borderId="24">
      <alignment horizontal="right" vertical="center"/>
    </xf>
    <xf numFmtId="0" fontId="40" fillId="38" borderId="16" applyNumberFormat="0" applyAlignment="0" applyProtection="0"/>
    <xf numFmtId="0" fontId="25" fillId="51" borderId="15" applyNumberFormat="0" applyAlignment="0" applyProtection="0"/>
    <xf numFmtId="0" fontId="27" fillId="51" borderId="16" applyNumberFormat="0" applyAlignment="0" applyProtection="0"/>
    <xf numFmtId="0" fontId="16" fillId="29" borderId="27">
      <alignment horizontal="left" vertical="center" wrapText="1" indent="2"/>
    </xf>
    <xf numFmtId="0" fontId="28" fillId="51" borderId="16" applyNumberFormat="0" applyAlignment="0" applyProtection="0"/>
    <xf numFmtId="0" fontId="28" fillId="51" borderId="16" applyNumberFormat="0" applyAlignment="0" applyProtection="0"/>
    <xf numFmtId="4" fontId="13" fillId="29" borderId="25">
      <alignment horizontal="right" vertical="center"/>
    </xf>
    <xf numFmtId="0" fontId="13" fillId="29" borderId="25">
      <alignment horizontal="right" vertical="center"/>
    </xf>
    <xf numFmtId="0" fontId="13" fillId="29" borderId="24">
      <alignment horizontal="right" vertical="center"/>
    </xf>
    <xf numFmtId="4" fontId="18" fillId="27" borderId="24">
      <alignment horizontal="right" vertical="center"/>
    </xf>
    <xf numFmtId="0" fontId="31" fillId="38" borderId="16" applyNumberFormat="0" applyAlignment="0" applyProtection="0"/>
    <xf numFmtId="0" fontId="32" fillId="0" borderId="18" applyNumberFormat="0" applyFill="0" applyAlignment="0" applyProtection="0"/>
    <xf numFmtId="0" fontId="47" fillId="0" borderId="18" applyNumberFormat="0" applyFill="0" applyAlignment="0" applyProtection="0"/>
    <xf numFmtId="0" fontId="22" fillId="54" borderId="23" applyNumberFormat="0" applyFont="0" applyAlignment="0" applyProtection="0"/>
    <xf numFmtId="0" fontId="40" fillId="38" borderId="16" applyNumberFormat="0" applyAlignment="0" applyProtection="0"/>
    <xf numFmtId="49" fontId="15" fillId="0" borderId="24" applyNumberFormat="0" applyFill="0" applyBorder="0" applyProtection="0">
      <alignment horizontal="left" vertical="center"/>
    </xf>
    <xf numFmtId="0" fontId="16" fillId="29" borderId="27">
      <alignment horizontal="left" vertical="center" wrapText="1" indent="2"/>
    </xf>
    <xf numFmtId="0" fontId="28" fillId="51" borderId="16" applyNumberFormat="0" applyAlignment="0" applyProtection="0"/>
    <xf numFmtId="0" fontId="16" fillId="0" borderId="27">
      <alignment horizontal="left" vertical="center" wrapText="1" indent="2"/>
    </xf>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4" fontId="16" fillId="28" borderId="24"/>
    <xf numFmtId="0" fontId="13" fillId="29" borderId="24">
      <alignment horizontal="right" vertical="center"/>
    </xf>
    <xf numFmtId="0" fontId="47" fillId="0" borderId="18" applyNumberFormat="0" applyFill="0" applyAlignment="0" applyProtection="0"/>
    <xf numFmtId="4" fontId="13" fillId="29" borderId="26">
      <alignment horizontal="right" vertical="center"/>
    </xf>
    <xf numFmtId="0" fontId="27" fillId="51" borderId="16" applyNumberFormat="0" applyAlignment="0" applyProtection="0"/>
    <xf numFmtId="0" fontId="13" fillId="29" borderId="25">
      <alignment horizontal="right" vertical="center"/>
    </xf>
    <xf numFmtId="0" fontId="28" fillId="51" borderId="16" applyNumberFormat="0" applyAlignment="0" applyProtection="0"/>
    <xf numFmtId="0" fontId="32" fillId="0" borderId="18" applyNumberFormat="0" applyFill="0" applyAlignment="0" applyProtection="0"/>
    <xf numFmtId="0" fontId="22" fillId="54" borderId="23" applyNumberFormat="0" applyFont="0" applyAlignment="0" applyProtection="0"/>
    <xf numFmtId="4" fontId="13" fillId="29" borderId="25">
      <alignment horizontal="right" vertical="center"/>
    </xf>
    <xf numFmtId="0" fontId="16" fillId="29" borderId="27">
      <alignment horizontal="left" vertical="center" wrapText="1" indent="2"/>
    </xf>
    <xf numFmtId="0" fontId="16" fillId="28" borderId="24"/>
    <xf numFmtId="167" fontId="16" fillId="55" borderId="24" applyNumberFormat="0" applyFont="0" applyBorder="0" applyAlignment="0" applyProtection="0">
      <alignment horizontal="right" vertical="center"/>
    </xf>
    <xf numFmtId="0" fontId="16" fillId="0" borderId="24" applyNumberFormat="0" applyFill="0" applyAlignment="0" applyProtection="0"/>
    <xf numFmtId="4" fontId="16" fillId="0" borderId="24" applyFill="0" applyBorder="0" applyProtection="0">
      <alignment horizontal="right" vertical="center"/>
    </xf>
    <xf numFmtId="4" fontId="13" fillId="27" borderId="24">
      <alignment horizontal="right" vertical="center"/>
    </xf>
    <xf numFmtId="0" fontId="32" fillId="0" borderId="18" applyNumberFormat="0" applyFill="0" applyAlignment="0" applyProtection="0"/>
    <xf numFmtId="49" fontId="15" fillId="0" borderId="24" applyNumberFormat="0" applyFill="0" applyBorder="0" applyProtection="0">
      <alignment horizontal="left" vertical="center"/>
    </xf>
    <xf numFmtId="49" fontId="16" fillId="0" borderId="25" applyNumberFormat="0" applyFont="0" applyFill="0" applyBorder="0" applyProtection="0">
      <alignment horizontal="left" vertical="center" indent="5"/>
    </xf>
    <xf numFmtId="0" fontId="16" fillId="27" borderId="25">
      <alignment horizontal="left" vertical="center"/>
    </xf>
    <xf numFmtId="0" fontId="28" fillId="51" borderId="16" applyNumberFormat="0" applyAlignment="0" applyProtection="0"/>
    <xf numFmtId="4" fontId="13" fillId="29" borderId="26">
      <alignment horizontal="right" vertical="center"/>
    </xf>
    <xf numFmtId="0" fontId="40" fillId="38"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13" fillId="29" borderId="24">
      <alignment horizontal="right" vertical="center"/>
    </xf>
    <xf numFmtId="0" fontId="14" fillId="54" borderId="23" applyNumberFormat="0" applyFont="0" applyAlignment="0" applyProtection="0"/>
    <xf numFmtId="4" fontId="16" fillId="0" borderId="24">
      <alignment horizontal="right" vertical="center"/>
    </xf>
    <xf numFmtId="0" fontId="47" fillId="0" borderId="18" applyNumberFormat="0" applyFill="0" applyAlignment="0" applyProtection="0"/>
    <xf numFmtId="0" fontId="13" fillId="29" borderId="24">
      <alignment horizontal="right" vertical="center"/>
    </xf>
    <xf numFmtId="0" fontId="13" fillId="29" borderId="24">
      <alignment horizontal="right" vertical="center"/>
    </xf>
    <xf numFmtId="4" fontId="18" fillId="27" borderId="24">
      <alignment horizontal="right" vertical="center"/>
    </xf>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13" fillId="29" borderId="25">
      <alignment horizontal="right" vertical="center"/>
    </xf>
    <xf numFmtId="4" fontId="13" fillId="29" borderId="25">
      <alignment horizontal="right" vertical="center"/>
    </xf>
    <xf numFmtId="0" fontId="13" fillId="29" borderId="26">
      <alignment horizontal="right" vertical="center"/>
    </xf>
    <xf numFmtId="4" fontId="13" fillId="29" borderId="26">
      <alignment horizontal="right" vertical="center"/>
    </xf>
    <xf numFmtId="0" fontId="28"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7" borderId="25">
      <alignment horizontal="left" vertical="center"/>
    </xf>
    <xf numFmtId="0" fontId="40" fillId="38" borderId="16" applyNumberFormat="0" applyAlignment="0" applyProtection="0"/>
    <xf numFmtId="0" fontId="16" fillId="0" borderId="24">
      <alignment horizontal="right" vertical="center"/>
    </xf>
    <xf numFmtId="4" fontId="16" fillId="0" borderId="24">
      <alignment horizontal="right" vertical="center"/>
    </xf>
    <xf numFmtId="0" fontId="16" fillId="0" borderId="24" applyNumberFormat="0" applyFill="0" applyAlignment="0" applyProtection="0"/>
    <xf numFmtId="0" fontId="44" fillId="51" borderId="15" applyNumberFormat="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0" fontId="47" fillId="0" borderId="18" applyNumberFormat="0" applyFill="0" applyAlignment="0" applyProtection="0"/>
    <xf numFmtId="0" fontId="14" fillId="54" borderId="23" applyNumberFormat="0" applyFont="0" applyAlignment="0" applyProtection="0"/>
    <xf numFmtId="0" fontId="22" fillId="54" borderId="23" applyNumberFormat="0" applyFont="0" applyAlignment="0" applyProtection="0"/>
    <xf numFmtId="0" fontId="16" fillId="0" borderId="24" applyNumberFormat="0" applyFill="0" applyAlignment="0" applyProtection="0"/>
    <xf numFmtId="0" fontId="32" fillId="0" borderId="18" applyNumberFormat="0" applyFill="0" applyAlignment="0" applyProtection="0"/>
    <xf numFmtId="0" fontId="47" fillId="0" borderId="18" applyNumberFormat="0" applyFill="0" applyAlignment="0" applyProtection="0"/>
    <xf numFmtId="0" fontId="31" fillId="38" borderId="16" applyNumberFormat="0" applyAlignment="0" applyProtection="0"/>
    <xf numFmtId="0" fontId="28" fillId="51" borderId="16" applyNumberFormat="0" applyAlignment="0" applyProtection="0"/>
    <xf numFmtId="4" fontId="18" fillId="27" borderId="24">
      <alignment horizontal="right" vertical="center"/>
    </xf>
    <xf numFmtId="0" fontId="13" fillId="27" borderId="24">
      <alignment horizontal="right" vertical="center"/>
    </xf>
    <xf numFmtId="167" fontId="16" fillId="55" borderId="24" applyNumberFormat="0" applyFont="0" applyBorder="0" applyAlignment="0" applyProtection="0">
      <alignment horizontal="right" vertical="center"/>
    </xf>
    <xf numFmtId="0" fontId="32" fillId="0" borderId="18" applyNumberFormat="0" applyFill="0" applyAlignment="0" applyProtection="0"/>
    <xf numFmtId="49" fontId="16" fillId="0" borderId="24" applyNumberFormat="0" applyFont="0" applyFill="0" applyBorder="0" applyProtection="0">
      <alignment horizontal="left" vertical="center" indent="2"/>
    </xf>
    <xf numFmtId="49" fontId="16" fillId="0" borderId="25" applyNumberFormat="0" applyFont="0" applyFill="0" applyBorder="0" applyProtection="0">
      <alignment horizontal="left" vertical="center" indent="5"/>
    </xf>
    <xf numFmtId="49" fontId="16" fillId="0" borderId="24" applyNumberFormat="0" applyFont="0" applyFill="0" applyBorder="0" applyProtection="0">
      <alignment horizontal="left" vertical="center" indent="2"/>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6" fillId="0" borderId="27">
      <alignment horizontal="left" vertical="center" wrapText="1" indent="2"/>
    </xf>
    <xf numFmtId="0" fontId="44" fillId="51" borderId="15" applyNumberFormat="0" applyAlignment="0" applyProtection="0"/>
    <xf numFmtId="0" fontId="13" fillId="29" borderId="26">
      <alignment horizontal="right" vertical="center"/>
    </xf>
    <xf numFmtId="0" fontId="31" fillId="38" borderId="16" applyNumberFormat="0" applyAlignment="0" applyProtection="0"/>
    <xf numFmtId="0" fontId="13" fillId="29" borderId="26">
      <alignment horizontal="right" vertical="center"/>
    </xf>
    <xf numFmtId="4" fontId="13" fillId="29" borderId="24">
      <alignment horizontal="right" vertical="center"/>
    </xf>
    <xf numFmtId="0" fontId="13" fillId="29" borderId="24">
      <alignment horizontal="right" vertical="center"/>
    </xf>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0" fontId="16" fillId="28" borderId="24"/>
    <xf numFmtId="4" fontId="16" fillId="28" borderId="24"/>
    <xf numFmtId="4" fontId="13" fillId="29" borderId="24">
      <alignment horizontal="right" vertical="center"/>
    </xf>
    <xf numFmtId="0" fontId="18" fillId="27" borderId="24">
      <alignment horizontal="right" vertical="center"/>
    </xf>
    <xf numFmtId="0" fontId="31" fillId="38" borderId="16" applyNumberFormat="0" applyAlignment="0" applyProtection="0"/>
    <xf numFmtId="0" fontId="28" fillId="51" borderId="16" applyNumberFormat="0" applyAlignment="0" applyProtection="0"/>
    <xf numFmtId="4" fontId="16" fillId="0" borderId="24">
      <alignment horizontal="right" vertical="center"/>
    </xf>
    <xf numFmtId="0" fontId="16" fillId="29" borderId="27">
      <alignment horizontal="left" vertical="center" wrapText="1" indent="2"/>
    </xf>
    <xf numFmtId="0" fontId="16" fillId="0" borderId="27">
      <alignment horizontal="left" vertical="center" wrapText="1" indent="2"/>
    </xf>
    <xf numFmtId="0" fontId="44" fillId="51" borderId="15" applyNumberFormat="0" applyAlignment="0" applyProtection="0"/>
    <xf numFmtId="0" fontId="40" fillId="38" borderId="16" applyNumberFormat="0" applyAlignment="0" applyProtection="0"/>
    <xf numFmtId="0" fontId="27" fillId="51" borderId="16" applyNumberFormat="0" applyAlignment="0" applyProtection="0"/>
    <xf numFmtId="0" fontId="25" fillId="51" borderId="15" applyNumberFormat="0" applyAlignment="0" applyProtection="0"/>
    <xf numFmtId="0" fontId="13" fillId="29" borderId="26">
      <alignment horizontal="right" vertical="center"/>
    </xf>
    <xf numFmtId="0" fontId="18" fillId="27" borderId="24">
      <alignment horizontal="right" vertical="center"/>
    </xf>
    <xf numFmtId="4" fontId="13" fillId="27" borderId="24">
      <alignment horizontal="right" vertical="center"/>
    </xf>
    <xf numFmtId="4" fontId="13" fillId="29" borderId="24">
      <alignment horizontal="right" vertical="center"/>
    </xf>
    <xf numFmtId="49" fontId="16" fillId="0" borderId="25" applyNumberFormat="0" applyFont="0" applyFill="0" applyBorder="0" applyProtection="0">
      <alignment horizontal="left" vertical="center" indent="5"/>
    </xf>
    <xf numFmtId="4" fontId="16" fillId="0" borderId="24" applyFill="0" applyBorder="0" applyProtection="0">
      <alignment horizontal="right" vertical="center"/>
    </xf>
    <xf numFmtId="4" fontId="13" fillId="27" borderId="24">
      <alignment horizontal="right" vertical="center"/>
    </xf>
    <xf numFmtId="0" fontId="40" fillId="38" borderId="16" applyNumberFormat="0" applyAlignment="0" applyProtection="0"/>
    <xf numFmtId="0" fontId="31" fillId="38" borderId="16" applyNumberFormat="0" applyAlignment="0" applyProtection="0"/>
    <xf numFmtId="0" fontId="27"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9" borderId="27">
      <alignment horizontal="left" vertical="center" wrapText="1" indent="2"/>
    </xf>
    <xf numFmtId="0" fontId="4" fillId="0" borderId="0"/>
    <xf numFmtId="0" fontId="6" fillId="8" borderId="3" applyNumberFormat="0" applyAlignment="0" applyProtection="0"/>
    <xf numFmtId="0" fontId="7" fillId="8"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4" fillId="9" borderId="0" applyNumberFormat="0" applyBorder="0" applyAlignment="0" applyProtection="0"/>
    <xf numFmtId="0" fontId="4" fillId="10"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1" fillId="26" borderId="0" applyNumberFormat="0" applyBorder="0" applyAlignment="0" applyProtection="0"/>
    <xf numFmtId="0" fontId="28" fillId="51"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28" fillId="51"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13" fillId="29" borderId="25">
      <alignment horizontal="right" vertical="center"/>
    </xf>
    <xf numFmtId="4" fontId="13" fillId="29" borderId="25">
      <alignment horizontal="right" vertical="center"/>
    </xf>
    <xf numFmtId="0" fontId="13" fillId="29" borderId="26">
      <alignment horizontal="right" vertical="center"/>
    </xf>
    <xf numFmtId="4" fontId="13" fillId="29" borderId="26">
      <alignment horizontal="right" vertical="center"/>
    </xf>
    <xf numFmtId="0" fontId="28"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7" borderId="25">
      <alignment horizontal="left" vertical="center"/>
    </xf>
    <xf numFmtId="0" fontId="40" fillId="38" borderId="16" applyNumberFormat="0" applyAlignment="0" applyProtection="0"/>
    <xf numFmtId="0" fontId="16" fillId="0" borderId="24">
      <alignment horizontal="right" vertical="center"/>
    </xf>
    <xf numFmtId="4" fontId="16" fillId="0" borderId="24">
      <alignment horizontal="right" vertical="center"/>
    </xf>
    <xf numFmtId="0" fontId="16" fillId="0" borderId="24" applyNumberFormat="0" applyFill="0" applyAlignment="0" applyProtection="0"/>
    <xf numFmtId="0" fontId="44" fillId="51" borderId="15" applyNumberFormat="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0" fontId="47" fillId="0" borderId="18" applyNumberFormat="0" applyFill="0" applyAlignment="0" applyProtection="0"/>
    <xf numFmtId="49" fontId="16" fillId="0" borderId="24" applyNumberFormat="0" applyFont="0" applyFill="0" applyBorder="0" applyProtection="0">
      <alignment horizontal="left" vertical="center" indent="2"/>
    </xf>
    <xf numFmtId="49" fontId="16" fillId="0" borderId="25" applyNumberFormat="0" applyFont="0" applyFill="0" applyBorder="0" applyProtection="0">
      <alignment horizontal="left" vertical="center" indent="5"/>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0" fontId="31" fillId="38"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4" fontId="13" fillId="29" borderId="24">
      <alignment horizontal="right" vertical="center"/>
    </xf>
    <xf numFmtId="0" fontId="16" fillId="28" borderId="24"/>
    <xf numFmtId="0" fontId="27" fillId="51" borderId="16" applyNumberFormat="0" applyAlignment="0" applyProtection="0"/>
    <xf numFmtId="0" fontId="13" fillId="27" borderId="24">
      <alignment horizontal="right" vertical="center"/>
    </xf>
    <xf numFmtId="0" fontId="16" fillId="0" borderId="24">
      <alignment horizontal="right" vertical="center"/>
    </xf>
    <xf numFmtId="0" fontId="47" fillId="0" borderId="18" applyNumberFormat="0" applyFill="0" applyAlignment="0" applyProtection="0"/>
    <xf numFmtId="0" fontId="16" fillId="27" borderId="25">
      <alignment horizontal="left" vertical="center"/>
    </xf>
    <xf numFmtId="0" fontId="40" fillId="38" borderId="16" applyNumberFormat="0" applyAlignment="0" applyProtection="0"/>
    <xf numFmtId="167" fontId="16" fillId="55" borderId="24" applyNumberFormat="0" applyFont="0" applyBorder="0" applyAlignment="0" applyProtection="0">
      <alignment horizontal="right" vertical="center"/>
    </xf>
    <xf numFmtId="0" fontId="22" fillId="54" borderId="23" applyNumberFormat="0" applyFont="0" applyAlignment="0" applyProtection="0"/>
    <xf numFmtId="0" fontId="16" fillId="0" borderId="27">
      <alignment horizontal="left" vertical="center" wrapText="1" indent="2"/>
    </xf>
    <xf numFmtId="4" fontId="16" fillId="28" borderId="24"/>
    <xf numFmtId="49" fontId="15" fillId="0" borderId="24" applyNumberFormat="0" applyFill="0" applyBorder="0" applyProtection="0">
      <alignment horizontal="left" vertical="center"/>
    </xf>
    <xf numFmtId="0" fontId="16" fillId="0" borderId="24">
      <alignment horizontal="right" vertical="center"/>
    </xf>
    <xf numFmtId="4" fontId="13" fillId="29" borderId="26">
      <alignment horizontal="right" vertical="center"/>
    </xf>
    <xf numFmtId="4" fontId="13" fillId="29" borderId="24">
      <alignment horizontal="right" vertical="center"/>
    </xf>
    <xf numFmtId="4" fontId="13" fillId="29" borderId="24">
      <alignment horizontal="right" vertical="center"/>
    </xf>
    <xf numFmtId="0" fontId="18" fillId="27" borderId="24">
      <alignment horizontal="right" vertical="center"/>
    </xf>
    <xf numFmtId="0" fontId="13" fillId="27" borderId="24">
      <alignment horizontal="right" vertical="center"/>
    </xf>
    <xf numFmtId="49" fontId="16" fillId="0" borderId="24" applyNumberFormat="0" applyFont="0" applyFill="0" applyBorder="0" applyProtection="0">
      <alignment horizontal="left" vertical="center" indent="2"/>
    </xf>
    <xf numFmtId="0" fontId="40" fillId="38" borderId="16" applyNumberFormat="0" applyAlignment="0" applyProtection="0"/>
    <xf numFmtId="0" fontId="25" fillId="51" borderId="15" applyNumberFormat="0" applyAlignment="0" applyProtection="0"/>
    <xf numFmtId="49" fontId="16" fillId="0" borderId="24" applyNumberFormat="0" applyFont="0" applyFill="0" applyBorder="0" applyProtection="0">
      <alignment horizontal="left" vertical="center" indent="2"/>
    </xf>
    <xf numFmtId="0" fontId="31" fillId="38" borderId="16" applyNumberFormat="0" applyAlignment="0" applyProtection="0"/>
    <xf numFmtId="4" fontId="16" fillId="0" borderId="24" applyFill="0" applyBorder="0" applyProtection="0">
      <alignment horizontal="right" vertical="center"/>
    </xf>
    <xf numFmtId="0" fontId="28" fillId="51" borderId="16" applyNumberFormat="0" applyAlignment="0" applyProtection="0"/>
    <xf numFmtId="0" fontId="47" fillId="0" borderId="18" applyNumberFormat="0" applyFill="0" applyAlignment="0" applyProtection="0"/>
    <xf numFmtId="0" fontId="44" fillId="51" borderId="15" applyNumberFormat="0" applyAlignment="0" applyProtection="0"/>
    <xf numFmtId="0" fontId="16" fillId="0" borderId="24" applyNumberFormat="0" applyFill="0" applyAlignment="0" applyProtection="0"/>
    <xf numFmtId="4" fontId="16" fillId="0" borderId="24">
      <alignment horizontal="right" vertical="center"/>
    </xf>
    <xf numFmtId="0" fontId="16" fillId="0" borderId="24">
      <alignment horizontal="right" vertical="center"/>
    </xf>
    <xf numFmtId="0" fontId="40" fillId="38" borderId="16" applyNumberFormat="0" applyAlignment="0" applyProtection="0"/>
    <xf numFmtId="0" fontId="25" fillId="51" borderId="15" applyNumberFormat="0" applyAlignment="0" applyProtection="0"/>
    <xf numFmtId="0" fontId="27" fillId="51" borderId="16" applyNumberFormat="0" applyAlignment="0" applyProtection="0"/>
    <xf numFmtId="0" fontId="16" fillId="29" borderId="27">
      <alignment horizontal="left" vertical="center" wrapText="1" indent="2"/>
    </xf>
    <xf numFmtId="0" fontId="28" fillId="51" borderId="16" applyNumberFormat="0" applyAlignment="0" applyProtection="0"/>
    <xf numFmtId="0" fontId="28" fillId="51" borderId="16" applyNumberFormat="0" applyAlignment="0" applyProtection="0"/>
    <xf numFmtId="4" fontId="13" fillId="29" borderId="25">
      <alignment horizontal="right" vertical="center"/>
    </xf>
    <xf numFmtId="0" fontId="13" fillId="29" borderId="25">
      <alignment horizontal="right" vertical="center"/>
    </xf>
    <xf numFmtId="0" fontId="13" fillId="29" borderId="24">
      <alignment horizontal="right" vertical="center"/>
    </xf>
    <xf numFmtId="4" fontId="18" fillId="27" borderId="24">
      <alignment horizontal="right" vertical="center"/>
    </xf>
    <xf numFmtId="0" fontId="31" fillId="38" borderId="16" applyNumberFormat="0" applyAlignment="0" applyProtection="0"/>
    <xf numFmtId="0" fontId="32" fillId="0" borderId="18" applyNumberFormat="0" applyFill="0" applyAlignment="0" applyProtection="0"/>
    <xf numFmtId="0" fontId="47" fillId="0" borderId="18" applyNumberFormat="0" applyFill="0" applyAlignment="0" applyProtection="0"/>
    <xf numFmtId="0" fontId="22" fillId="54" borderId="23" applyNumberFormat="0" applyFont="0" applyAlignment="0" applyProtection="0"/>
    <xf numFmtId="0" fontId="40" fillId="38" borderId="16" applyNumberFormat="0" applyAlignment="0" applyProtection="0"/>
    <xf numFmtId="49" fontId="15" fillId="0" borderId="24" applyNumberFormat="0" applyFill="0" applyBorder="0" applyProtection="0">
      <alignment horizontal="left" vertical="center"/>
    </xf>
    <xf numFmtId="0" fontId="16" fillId="29" borderId="27">
      <alignment horizontal="left" vertical="center" wrapText="1" indent="2"/>
    </xf>
    <xf numFmtId="0" fontId="28" fillId="51" borderId="16" applyNumberFormat="0" applyAlignment="0" applyProtection="0"/>
    <xf numFmtId="0" fontId="16" fillId="0" borderId="27">
      <alignment horizontal="left" vertical="center" wrapText="1" indent="2"/>
    </xf>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4" fontId="16" fillId="28" borderId="24"/>
    <xf numFmtId="0" fontId="13" fillId="29" borderId="24">
      <alignment horizontal="right" vertical="center"/>
    </xf>
    <xf numFmtId="0" fontId="47" fillId="0" borderId="18" applyNumberFormat="0" applyFill="0" applyAlignment="0" applyProtection="0"/>
    <xf numFmtId="4" fontId="13" fillId="29" borderId="26">
      <alignment horizontal="right" vertical="center"/>
    </xf>
    <xf numFmtId="0" fontId="27" fillId="51" borderId="16" applyNumberFormat="0" applyAlignment="0" applyProtection="0"/>
    <xf numFmtId="0" fontId="13" fillId="29" borderId="25">
      <alignment horizontal="right" vertical="center"/>
    </xf>
    <xf numFmtId="0" fontId="28" fillId="51" borderId="16" applyNumberFormat="0" applyAlignment="0" applyProtection="0"/>
    <xf numFmtId="0" fontId="32" fillId="0" borderId="18" applyNumberFormat="0" applyFill="0" applyAlignment="0" applyProtection="0"/>
    <xf numFmtId="0" fontId="22" fillId="54" borderId="23" applyNumberFormat="0" applyFont="0" applyAlignment="0" applyProtection="0"/>
    <xf numFmtId="4" fontId="13" fillId="29" borderId="25">
      <alignment horizontal="right" vertical="center"/>
    </xf>
    <xf numFmtId="0" fontId="16" fillId="29" borderId="27">
      <alignment horizontal="left" vertical="center" wrapText="1" indent="2"/>
    </xf>
    <xf numFmtId="0" fontId="16" fillId="28" borderId="24"/>
    <xf numFmtId="167" fontId="16" fillId="55" borderId="24" applyNumberFormat="0" applyFont="0" applyBorder="0" applyAlignment="0" applyProtection="0">
      <alignment horizontal="right" vertical="center"/>
    </xf>
    <xf numFmtId="0" fontId="16" fillId="0" borderId="24" applyNumberFormat="0" applyFill="0" applyAlignment="0" applyProtection="0"/>
    <xf numFmtId="4" fontId="16" fillId="0" borderId="24" applyFill="0" applyBorder="0" applyProtection="0">
      <alignment horizontal="right" vertical="center"/>
    </xf>
    <xf numFmtId="4" fontId="13" fillId="27" borderId="24">
      <alignment horizontal="right" vertical="center"/>
    </xf>
    <xf numFmtId="0" fontId="32" fillId="0" borderId="18" applyNumberFormat="0" applyFill="0" applyAlignment="0" applyProtection="0"/>
    <xf numFmtId="49" fontId="15" fillId="0" borderId="24" applyNumberFormat="0" applyFill="0" applyBorder="0" applyProtection="0">
      <alignment horizontal="left" vertical="center"/>
    </xf>
    <xf numFmtId="49" fontId="16" fillId="0" borderId="25" applyNumberFormat="0" applyFont="0" applyFill="0" applyBorder="0" applyProtection="0">
      <alignment horizontal="left" vertical="center" indent="5"/>
    </xf>
    <xf numFmtId="0" fontId="16" fillId="27" borderId="25">
      <alignment horizontal="left" vertical="center"/>
    </xf>
    <xf numFmtId="0" fontId="28" fillId="51" borderId="16" applyNumberFormat="0" applyAlignment="0" applyProtection="0"/>
    <xf numFmtId="4" fontId="13" fillId="29" borderId="26">
      <alignment horizontal="right" vertical="center"/>
    </xf>
    <xf numFmtId="0" fontId="40" fillId="38"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13" fillId="29" borderId="24">
      <alignment horizontal="right" vertical="center"/>
    </xf>
    <xf numFmtId="0" fontId="14" fillId="54" borderId="23" applyNumberFormat="0" applyFont="0" applyAlignment="0" applyProtection="0"/>
    <xf numFmtId="4" fontId="16" fillId="0" borderId="24">
      <alignment horizontal="right" vertical="center"/>
    </xf>
    <xf numFmtId="0" fontId="47" fillId="0" borderId="18" applyNumberFormat="0" applyFill="0" applyAlignment="0" applyProtection="0"/>
    <xf numFmtId="0" fontId="13" fillId="29" borderId="24">
      <alignment horizontal="right" vertical="center"/>
    </xf>
    <xf numFmtId="0" fontId="13" fillId="29" borderId="24">
      <alignment horizontal="right" vertical="center"/>
    </xf>
    <xf numFmtId="4" fontId="18" fillId="27" borderId="24">
      <alignment horizontal="right" vertical="center"/>
    </xf>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13" fillId="29" borderId="25">
      <alignment horizontal="right" vertical="center"/>
    </xf>
    <xf numFmtId="4" fontId="13" fillId="29" borderId="25">
      <alignment horizontal="right" vertical="center"/>
    </xf>
    <xf numFmtId="0" fontId="13" fillId="29" borderId="26">
      <alignment horizontal="right" vertical="center"/>
    </xf>
    <xf numFmtId="4" fontId="13" fillId="29" borderId="26">
      <alignment horizontal="right" vertical="center"/>
    </xf>
    <xf numFmtId="0" fontId="28"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7" borderId="25">
      <alignment horizontal="left" vertical="center"/>
    </xf>
    <xf numFmtId="0" fontId="40" fillId="38" borderId="16" applyNumberFormat="0" applyAlignment="0" applyProtection="0"/>
    <xf numFmtId="0" fontId="16" fillId="0" borderId="24">
      <alignment horizontal="right" vertical="center"/>
    </xf>
    <xf numFmtId="4" fontId="16" fillId="0" borderId="24">
      <alignment horizontal="right" vertical="center"/>
    </xf>
    <xf numFmtId="0" fontId="16" fillId="0" borderId="24" applyNumberFormat="0" applyFill="0" applyAlignment="0" applyProtection="0"/>
    <xf numFmtId="0" fontId="44" fillId="51" borderId="15" applyNumberFormat="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0" fontId="47" fillId="0" borderId="18" applyNumberFormat="0" applyFill="0" applyAlignment="0" applyProtection="0"/>
    <xf numFmtId="0" fontId="14" fillId="54" borderId="23" applyNumberFormat="0" applyFont="0" applyAlignment="0" applyProtection="0"/>
    <xf numFmtId="0" fontId="22" fillId="54" borderId="23" applyNumberFormat="0" applyFont="0" applyAlignment="0" applyProtection="0"/>
    <xf numFmtId="0" fontId="16" fillId="0" borderId="24" applyNumberFormat="0" applyFill="0" applyAlignment="0" applyProtection="0"/>
    <xf numFmtId="0" fontId="32" fillId="0" borderId="18" applyNumberFormat="0" applyFill="0" applyAlignment="0" applyProtection="0"/>
    <xf numFmtId="0" fontId="47" fillId="0" borderId="18" applyNumberFormat="0" applyFill="0" applyAlignment="0" applyProtection="0"/>
    <xf numFmtId="0" fontId="31" fillId="38" borderId="16" applyNumberFormat="0" applyAlignment="0" applyProtection="0"/>
    <xf numFmtId="0" fontId="28" fillId="51" borderId="16" applyNumberFormat="0" applyAlignment="0" applyProtection="0"/>
    <xf numFmtId="4" fontId="18" fillId="27" borderId="24">
      <alignment horizontal="right" vertical="center"/>
    </xf>
    <xf numFmtId="0" fontId="13" fillId="27" borderId="24">
      <alignment horizontal="right" vertical="center"/>
    </xf>
    <xf numFmtId="167" fontId="16" fillId="55" borderId="24" applyNumberFormat="0" applyFont="0" applyBorder="0" applyAlignment="0" applyProtection="0">
      <alignment horizontal="right" vertical="center"/>
    </xf>
    <xf numFmtId="0" fontId="32" fillId="0" borderId="18" applyNumberFormat="0" applyFill="0" applyAlignment="0" applyProtection="0"/>
    <xf numFmtId="49" fontId="16" fillId="0" borderId="24" applyNumberFormat="0" applyFont="0" applyFill="0" applyBorder="0" applyProtection="0">
      <alignment horizontal="left" vertical="center" indent="2"/>
    </xf>
    <xf numFmtId="49" fontId="16" fillId="0" borderId="25" applyNumberFormat="0" applyFont="0" applyFill="0" applyBorder="0" applyProtection="0">
      <alignment horizontal="left" vertical="center" indent="5"/>
    </xf>
    <xf numFmtId="49" fontId="16" fillId="0" borderId="24" applyNumberFormat="0" applyFont="0" applyFill="0" applyBorder="0" applyProtection="0">
      <alignment horizontal="left" vertical="center" indent="2"/>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6" fillId="0" borderId="27">
      <alignment horizontal="left" vertical="center" wrapText="1" indent="2"/>
    </xf>
    <xf numFmtId="0" fontId="44" fillId="51" borderId="15" applyNumberFormat="0" applyAlignment="0" applyProtection="0"/>
    <xf numFmtId="0" fontId="13" fillId="29" borderId="26">
      <alignment horizontal="right" vertical="center"/>
    </xf>
    <xf numFmtId="0" fontId="31" fillId="38" borderId="16" applyNumberFormat="0" applyAlignment="0" applyProtection="0"/>
    <xf numFmtId="0" fontId="13" fillId="29" borderId="26">
      <alignment horizontal="right" vertical="center"/>
    </xf>
    <xf numFmtId="4" fontId="13" fillId="29" borderId="24">
      <alignment horizontal="right" vertical="center"/>
    </xf>
    <xf numFmtId="0" fontId="13" fillId="29" borderId="24">
      <alignment horizontal="right" vertical="center"/>
    </xf>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0" fontId="16" fillId="28" borderId="24"/>
    <xf numFmtId="4" fontId="16" fillId="28" borderId="24"/>
    <xf numFmtId="4" fontId="13" fillId="29" borderId="24">
      <alignment horizontal="right" vertical="center"/>
    </xf>
    <xf numFmtId="0" fontId="18" fillId="27" borderId="24">
      <alignment horizontal="right" vertical="center"/>
    </xf>
    <xf numFmtId="0" fontId="31" fillId="38" borderId="16" applyNumberFormat="0" applyAlignment="0" applyProtection="0"/>
    <xf numFmtId="0" fontId="28" fillId="51" borderId="16" applyNumberFormat="0" applyAlignment="0" applyProtection="0"/>
    <xf numFmtId="4" fontId="16" fillId="0" borderId="24">
      <alignment horizontal="right" vertical="center"/>
    </xf>
    <xf numFmtId="0" fontId="16" fillId="29" borderId="27">
      <alignment horizontal="left" vertical="center" wrapText="1" indent="2"/>
    </xf>
    <xf numFmtId="0" fontId="16" fillId="0" borderId="27">
      <alignment horizontal="left" vertical="center" wrapText="1" indent="2"/>
    </xf>
    <xf numFmtId="0" fontId="44" fillId="51" borderId="15" applyNumberFormat="0" applyAlignment="0" applyProtection="0"/>
    <xf numFmtId="0" fontId="40" fillId="38" borderId="16" applyNumberFormat="0" applyAlignment="0" applyProtection="0"/>
    <xf numFmtId="0" fontId="27" fillId="51" borderId="16" applyNumberFormat="0" applyAlignment="0" applyProtection="0"/>
    <xf numFmtId="0" fontId="25" fillId="51" borderId="15" applyNumberFormat="0" applyAlignment="0" applyProtection="0"/>
    <xf numFmtId="0" fontId="13" fillId="29" borderId="26">
      <alignment horizontal="right" vertical="center"/>
    </xf>
    <xf numFmtId="0" fontId="18" fillId="27" borderId="24">
      <alignment horizontal="right" vertical="center"/>
    </xf>
    <xf numFmtId="4" fontId="13" fillId="27" borderId="24">
      <alignment horizontal="right" vertical="center"/>
    </xf>
    <xf numFmtId="4" fontId="13" fillId="29" borderId="24">
      <alignment horizontal="right" vertical="center"/>
    </xf>
    <xf numFmtId="49" fontId="16" fillId="0" borderId="25" applyNumberFormat="0" applyFont="0" applyFill="0" applyBorder="0" applyProtection="0">
      <alignment horizontal="left" vertical="center" indent="5"/>
    </xf>
    <xf numFmtId="4" fontId="16" fillId="0" borderId="24" applyFill="0" applyBorder="0" applyProtection="0">
      <alignment horizontal="right" vertical="center"/>
    </xf>
    <xf numFmtId="4" fontId="13" fillId="27" borderId="24">
      <alignment horizontal="right" vertical="center"/>
    </xf>
    <xf numFmtId="0" fontId="40" fillId="38" borderId="16" applyNumberFormat="0" applyAlignment="0" applyProtection="0"/>
    <xf numFmtId="0" fontId="31" fillId="38" borderId="16" applyNumberFormat="0" applyAlignment="0" applyProtection="0"/>
    <xf numFmtId="0" fontId="27"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9" borderId="27">
      <alignment horizontal="left" vertical="center" wrapText="1" indent="2"/>
    </xf>
    <xf numFmtId="0" fontId="16" fillId="0" borderId="27">
      <alignment horizontal="left" vertical="center" wrapText="1" indent="2"/>
    </xf>
    <xf numFmtId="0" fontId="25" fillId="51" borderId="15" applyNumberFormat="0" applyAlignment="0" applyProtection="0"/>
    <xf numFmtId="0" fontId="27" fillId="51" borderId="16" applyNumberFormat="0" applyAlignment="0" applyProtection="0"/>
    <xf numFmtId="0" fontId="28" fillId="51" borderId="16" applyNumberFormat="0" applyAlignment="0" applyProtection="0"/>
    <xf numFmtId="0" fontId="31" fillId="38" borderId="16" applyNumberFormat="0" applyAlignment="0" applyProtection="0"/>
    <xf numFmtId="0" fontId="32" fillId="0" borderId="18" applyNumberFormat="0" applyFill="0" applyAlignment="0" applyProtection="0"/>
    <xf numFmtId="0" fontId="40" fillId="38" borderId="16" applyNumberFormat="0" applyAlignment="0" applyProtection="0"/>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28" fillId="51"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28" fillId="51" borderId="16" applyNumberFormat="0" applyAlignment="0" applyProtection="0"/>
    <xf numFmtId="0" fontId="40" fillId="38" borderId="16" applyNumberFormat="0" applyAlignment="0" applyProtection="0"/>
    <xf numFmtId="0" fontId="44" fillId="51" borderId="15" applyNumberFormat="0" applyAlignment="0" applyProtection="0"/>
    <xf numFmtId="0" fontId="47" fillId="0" borderId="18" applyNumberFormat="0" applyFill="0" applyAlignment="0" applyProtection="0"/>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49" fontId="16" fillId="0" borderId="24" applyNumberFormat="0" applyFont="0" applyFill="0" applyBorder="0" applyProtection="0">
      <alignment horizontal="left" vertical="center" indent="2"/>
    </xf>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31" fillId="38" borderId="16" applyNumberFormat="0" applyAlignment="0" applyProtection="0"/>
    <xf numFmtId="0" fontId="16" fillId="0" borderId="24">
      <alignment horizontal="right" vertical="center"/>
    </xf>
    <xf numFmtId="4" fontId="16" fillId="0" borderId="24">
      <alignment horizontal="right" vertical="center"/>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6" fillId="0" borderId="24" applyNumberFormat="0" applyFill="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4" fontId="13" fillId="29" borderId="24">
      <alignment horizontal="right" vertical="center"/>
    </xf>
    <xf numFmtId="0" fontId="16" fillId="28" borderId="24"/>
    <xf numFmtId="0" fontId="27" fillId="51" borderId="16" applyNumberFormat="0" applyAlignment="0" applyProtection="0"/>
    <xf numFmtId="0" fontId="13" fillId="27" borderId="24">
      <alignment horizontal="right" vertical="center"/>
    </xf>
    <xf numFmtId="0" fontId="16" fillId="0" borderId="24">
      <alignment horizontal="right" vertical="center"/>
    </xf>
    <xf numFmtId="0" fontId="47" fillId="0" borderId="18" applyNumberFormat="0" applyFill="0" applyAlignment="0" applyProtection="0"/>
    <xf numFmtId="0" fontId="16" fillId="27" borderId="25">
      <alignment horizontal="left" vertical="center"/>
    </xf>
    <xf numFmtId="0" fontId="40" fillId="38" borderId="16" applyNumberFormat="0" applyAlignment="0" applyProtection="0"/>
    <xf numFmtId="167" fontId="16" fillId="55" borderId="24" applyNumberFormat="0" applyFont="0" applyBorder="0" applyAlignment="0" applyProtection="0">
      <alignment horizontal="right" vertical="center"/>
    </xf>
    <xf numFmtId="0" fontId="22" fillId="54" borderId="23" applyNumberFormat="0" applyFont="0" applyAlignment="0" applyProtection="0"/>
    <xf numFmtId="0" fontId="16" fillId="0" borderId="27">
      <alignment horizontal="left" vertical="center" wrapText="1" indent="2"/>
    </xf>
    <xf numFmtId="4" fontId="16" fillId="28" borderId="24"/>
    <xf numFmtId="49" fontId="15" fillId="0" borderId="24" applyNumberFormat="0" applyFill="0" applyBorder="0" applyProtection="0">
      <alignment horizontal="left" vertical="center"/>
    </xf>
    <xf numFmtId="0" fontId="16" fillId="0" borderId="24">
      <alignment horizontal="right" vertical="center"/>
    </xf>
    <xf numFmtId="4" fontId="13" fillId="29" borderId="26">
      <alignment horizontal="right" vertical="center"/>
    </xf>
    <xf numFmtId="4" fontId="13" fillId="29" borderId="24">
      <alignment horizontal="right" vertical="center"/>
    </xf>
    <xf numFmtId="4" fontId="13" fillId="29" borderId="24">
      <alignment horizontal="right" vertical="center"/>
    </xf>
    <xf numFmtId="0" fontId="18" fillId="27" borderId="24">
      <alignment horizontal="right" vertical="center"/>
    </xf>
    <xf numFmtId="0" fontId="13" fillId="27" borderId="24">
      <alignment horizontal="right" vertical="center"/>
    </xf>
    <xf numFmtId="49" fontId="16" fillId="0" borderId="24" applyNumberFormat="0" applyFont="0" applyFill="0" applyBorder="0" applyProtection="0">
      <alignment horizontal="left" vertical="center" indent="2"/>
    </xf>
    <xf numFmtId="0" fontId="40" fillId="38" borderId="16" applyNumberFormat="0" applyAlignment="0" applyProtection="0"/>
    <xf numFmtId="0" fontId="25" fillId="51" borderId="15" applyNumberFormat="0" applyAlignment="0" applyProtection="0"/>
    <xf numFmtId="49" fontId="16" fillId="0" borderId="24" applyNumberFormat="0" applyFont="0" applyFill="0" applyBorder="0" applyProtection="0">
      <alignment horizontal="left" vertical="center" indent="2"/>
    </xf>
    <xf numFmtId="0" fontId="31" fillId="38" borderId="16" applyNumberFormat="0" applyAlignment="0" applyProtection="0"/>
    <xf numFmtId="4" fontId="16" fillId="0" borderId="24" applyFill="0" applyBorder="0" applyProtection="0">
      <alignment horizontal="right" vertical="center"/>
    </xf>
    <xf numFmtId="0" fontId="28" fillId="51" borderId="16" applyNumberFormat="0" applyAlignment="0" applyProtection="0"/>
    <xf numFmtId="0" fontId="47" fillId="0" borderId="18" applyNumberFormat="0" applyFill="0" applyAlignment="0" applyProtection="0"/>
    <xf numFmtId="0" fontId="44" fillId="51" borderId="15" applyNumberFormat="0" applyAlignment="0" applyProtection="0"/>
    <xf numFmtId="0" fontId="16" fillId="0" borderId="24" applyNumberFormat="0" applyFill="0" applyAlignment="0" applyProtection="0"/>
    <xf numFmtId="4" fontId="16" fillId="0" borderId="24">
      <alignment horizontal="right" vertical="center"/>
    </xf>
    <xf numFmtId="0" fontId="16" fillId="0" borderId="24">
      <alignment horizontal="right" vertical="center"/>
    </xf>
    <xf numFmtId="0" fontId="40" fillId="38" borderId="16" applyNumberFormat="0" applyAlignment="0" applyProtection="0"/>
    <xf numFmtId="0" fontId="25" fillId="51" borderId="15" applyNumberFormat="0" applyAlignment="0" applyProtection="0"/>
    <xf numFmtId="0" fontId="27" fillId="51" borderId="16" applyNumberFormat="0" applyAlignment="0" applyProtection="0"/>
    <xf numFmtId="0" fontId="16" fillId="29" borderId="27">
      <alignment horizontal="left" vertical="center" wrapText="1" indent="2"/>
    </xf>
    <xf numFmtId="0" fontId="28" fillId="51" borderId="16" applyNumberFormat="0" applyAlignment="0" applyProtection="0"/>
    <xf numFmtId="0" fontId="28" fillId="51" borderId="16" applyNumberFormat="0" applyAlignment="0" applyProtection="0"/>
    <xf numFmtId="4" fontId="13" fillId="29" borderId="25">
      <alignment horizontal="right" vertical="center"/>
    </xf>
    <xf numFmtId="0" fontId="13" fillId="29" borderId="25">
      <alignment horizontal="right" vertical="center"/>
    </xf>
    <xf numFmtId="0" fontId="13" fillId="29" borderId="24">
      <alignment horizontal="right" vertical="center"/>
    </xf>
    <xf numFmtId="4" fontId="18" fillId="27" borderId="24">
      <alignment horizontal="right" vertical="center"/>
    </xf>
    <xf numFmtId="0" fontId="31" fillId="38" borderId="16" applyNumberFormat="0" applyAlignment="0" applyProtection="0"/>
    <xf numFmtId="0" fontId="32" fillId="0" borderId="18" applyNumberFormat="0" applyFill="0" applyAlignment="0" applyProtection="0"/>
    <xf numFmtId="0" fontId="47" fillId="0" borderId="18" applyNumberFormat="0" applyFill="0" applyAlignment="0" applyProtection="0"/>
    <xf numFmtId="0" fontId="22" fillId="54" borderId="23" applyNumberFormat="0" applyFont="0" applyAlignment="0" applyProtection="0"/>
    <xf numFmtId="0" fontId="40" fillId="38" borderId="16" applyNumberFormat="0" applyAlignment="0" applyProtection="0"/>
    <xf numFmtId="49" fontId="15" fillId="0" borderId="24" applyNumberFormat="0" applyFill="0" applyBorder="0" applyProtection="0">
      <alignment horizontal="left" vertical="center"/>
    </xf>
    <xf numFmtId="0" fontId="16" fillId="29" borderId="27">
      <alignment horizontal="left" vertical="center" wrapText="1" indent="2"/>
    </xf>
    <xf numFmtId="0" fontId="28" fillId="51" borderId="16" applyNumberFormat="0" applyAlignment="0" applyProtection="0"/>
    <xf numFmtId="0" fontId="16" fillId="0" borderId="27">
      <alignment horizontal="left" vertical="center" wrapText="1" indent="2"/>
    </xf>
    <xf numFmtId="0" fontId="22" fillId="54" borderId="23" applyNumberFormat="0" applyFont="0" applyAlignment="0" applyProtection="0"/>
    <xf numFmtId="0" fontId="14"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4" fontId="16" fillId="28" borderId="24"/>
    <xf numFmtId="0" fontId="13" fillId="29" borderId="24">
      <alignment horizontal="right" vertical="center"/>
    </xf>
    <xf numFmtId="0" fontId="47" fillId="0" borderId="18" applyNumberFormat="0" applyFill="0" applyAlignment="0" applyProtection="0"/>
    <xf numFmtId="4" fontId="13" fillId="29" borderId="26">
      <alignment horizontal="right" vertical="center"/>
    </xf>
    <xf numFmtId="0" fontId="27" fillId="51" borderId="16" applyNumberFormat="0" applyAlignment="0" applyProtection="0"/>
    <xf numFmtId="0" fontId="13" fillId="29" borderId="25">
      <alignment horizontal="right" vertical="center"/>
    </xf>
    <xf numFmtId="0" fontId="28" fillId="51" borderId="16" applyNumberFormat="0" applyAlignment="0" applyProtection="0"/>
    <xf numFmtId="0" fontId="32" fillId="0" borderId="18" applyNumberFormat="0" applyFill="0" applyAlignment="0" applyProtection="0"/>
    <xf numFmtId="0" fontId="22" fillId="54" borderId="23" applyNumberFormat="0" applyFont="0" applyAlignment="0" applyProtection="0"/>
    <xf numFmtId="4" fontId="13" fillId="29" borderId="25">
      <alignment horizontal="right" vertical="center"/>
    </xf>
    <xf numFmtId="0" fontId="16" fillId="29" borderId="27">
      <alignment horizontal="left" vertical="center" wrapText="1" indent="2"/>
    </xf>
    <xf numFmtId="0" fontId="16" fillId="28" borderId="24"/>
    <xf numFmtId="167" fontId="16" fillId="55" borderId="24" applyNumberFormat="0" applyFont="0" applyBorder="0" applyAlignment="0" applyProtection="0">
      <alignment horizontal="right" vertical="center"/>
    </xf>
    <xf numFmtId="0" fontId="16" fillId="0" borderId="24" applyNumberFormat="0" applyFill="0" applyAlignment="0" applyProtection="0"/>
    <xf numFmtId="4" fontId="16" fillId="0" borderId="24" applyFill="0" applyBorder="0" applyProtection="0">
      <alignment horizontal="right" vertical="center"/>
    </xf>
    <xf numFmtId="4" fontId="13" fillId="27" borderId="24">
      <alignment horizontal="right" vertical="center"/>
    </xf>
    <xf numFmtId="0" fontId="32" fillId="0" borderId="18" applyNumberFormat="0" applyFill="0" applyAlignment="0" applyProtection="0"/>
    <xf numFmtId="49" fontId="15" fillId="0" borderId="24" applyNumberFormat="0" applyFill="0" applyBorder="0" applyProtection="0">
      <alignment horizontal="left" vertical="center"/>
    </xf>
    <xf numFmtId="49" fontId="16" fillId="0" borderId="25" applyNumberFormat="0" applyFont="0" applyFill="0" applyBorder="0" applyProtection="0">
      <alignment horizontal="left" vertical="center" indent="5"/>
    </xf>
    <xf numFmtId="0" fontId="16" fillId="27" borderId="25">
      <alignment horizontal="left" vertical="center"/>
    </xf>
    <xf numFmtId="0" fontId="28" fillId="51" borderId="16" applyNumberFormat="0" applyAlignment="0" applyProtection="0"/>
    <xf numFmtId="4" fontId="13" fillId="29" borderId="26">
      <alignment horizontal="right" vertical="center"/>
    </xf>
    <xf numFmtId="0" fontId="40" fillId="38" borderId="16" applyNumberFormat="0" applyAlignment="0" applyProtection="0"/>
    <xf numFmtId="0" fontId="40" fillId="38" borderId="16" applyNumberFormat="0" applyAlignment="0" applyProtection="0"/>
    <xf numFmtId="0" fontId="22" fillId="54" borderId="23" applyNumberFormat="0" applyFont="0" applyAlignment="0" applyProtection="0"/>
    <xf numFmtId="0" fontId="44" fillId="51" borderId="15" applyNumberFormat="0" applyAlignment="0" applyProtection="0"/>
    <xf numFmtId="0" fontId="47" fillId="0" borderId="18" applyNumberFormat="0" applyFill="0" applyAlignment="0" applyProtection="0"/>
    <xf numFmtId="0" fontId="13" fillId="29" borderId="24">
      <alignment horizontal="right" vertical="center"/>
    </xf>
    <xf numFmtId="0" fontId="14" fillId="54" borderId="23" applyNumberFormat="0" applyFont="0" applyAlignment="0" applyProtection="0"/>
    <xf numFmtId="4" fontId="16" fillId="0" borderId="24">
      <alignment horizontal="right" vertical="center"/>
    </xf>
    <xf numFmtId="0" fontId="47" fillId="0" borderId="18" applyNumberFormat="0" applyFill="0" applyAlignment="0" applyProtection="0"/>
    <xf numFmtId="0" fontId="13" fillId="29" borderId="24">
      <alignment horizontal="right" vertical="center"/>
    </xf>
    <xf numFmtId="0" fontId="13" fillId="29" borderId="24">
      <alignment horizontal="right" vertical="center"/>
    </xf>
    <xf numFmtId="4" fontId="18" fillId="27" borderId="24">
      <alignment horizontal="right" vertical="center"/>
    </xf>
    <xf numFmtId="0" fontId="13" fillId="27" borderId="24">
      <alignment horizontal="right" vertical="center"/>
    </xf>
    <xf numFmtId="4" fontId="13" fillId="27" borderId="24">
      <alignment horizontal="right" vertical="center"/>
    </xf>
    <xf numFmtId="0" fontId="18" fillId="27" borderId="24">
      <alignment horizontal="right" vertical="center"/>
    </xf>
    <xf numFmtId="4" fontId="18" fillId="27" borderId="24">
      <alignment horizontal="right" vertical="center"/>
    </xf>
    <xf numFmtId="0" fontId="13" fillId="29" borderId="24">
      <alignment horizontal="right" vertical="center"/>
    </xf>
    <xf numFmtId="4" fontId="13" fillId="29" borderId="24">
      <alignment horizontal="right" vertical="center"/>
    </xf>
    <xf numFmtId="0" fontId="13" fillId="29" borderId="24">
      <alignment horizontal="right" vertical="center"/>
    </xf>
    <xf numFmtId="4" fontId="13" fillId="29" borderId="24">
      <alignment horizontal="right" vertical="center"/>
    </xf>
    <xf numFmtId="0" fontId="13" fillId="29" borderId="25">
      <alignment horizontal="right" vertical="center"/>
    </xf>
    <xf numFmtId="4" fontId="13" fillId="29" borderId="25">
      <alignment horizontal="right" vertical="center"/>
    </xf>
    <xf numFmtId="0" fontId="13" fillId="29" borderId="26">
      <alignment horizontal="right" vertical="center"/>
    </xf>
    <xf numFmtId="4" fontId="13" fillId="29" borderId="26">
      <alignment horizontal="right" vertical="center"/>
    </xf>
    <xf numFmtId="0" fontId="28"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7" borderId="25">
      <alignment horizontal="left" vertical="center"/>
    </xf>
    <xf numFmtId="0" fontId="40" fillId="38" borderId="16" applyNumberFormat="0" applyAlignment="0" applyProtection="0"/>
    <xf numFmtId="0" fontId="16" fillId="0" borderId="24">
      <alignment horizontal="right" vertical="center"/>
    </xf>
    <xf numFmtId="4" fontId="16" fillId="0" borderId="24">
      <alignment horizontal="right" vertical="center"/>
    </xf>
    <xf numFmtId="0" fontId="16" fillId="0" borderId="24" applyNumberFormat="0" applyFill="0" applyAlignment="0" applyProtection="0"/>
    <xf numFmtId="0" fontId="44" fillId="51" borderId="15" applyNumberFormat="0" applyAlignment="0" applyProtection="0"/>
    <xf numFmtId="167" fontId="16" fillId="55" borderId="24" applyNumberFormat="0" applyFont="0" applyBorder="0" applyAlignment="0" applyProtection="0">
      <alignment horizontal="right" vertical="center"/>
    </xf>
    <xf numFmtId="0" fontId="16" fillId="28" borderId="24"/>
    <xf numFmtId="4" fontId="16" fillId="28" borderId="24"/>
    <xf numFmtId="0" fontId="47" fillId="0" borderId="18" applyNumberFormat="0" applyFill="0" applyAlignment="0" applyProtection="0"/>
    <xf numFmtId="0" fontId="14" fillId="54" borderId="23" applyNumberFormat="0" applyFont="0" applyAlignment="0" applyProtection="0"/>
    <xf numFmtId="0" fontId="22" fillId="54" borderId="23" applyNumberFormat="0" applyFont="0" applyAlignment="0" applyProtection="0"/>
    <xf numFmtId="0" fontId="16" fillId="0" borderId="24" applyNumberFormat="0" applyFill="0" applyAlignment="0" applyProtection="0"/>
    <xf numFmtId="0" fontId="32" fillId="0" borderId="18" applyNumberFormat="0" applyFill="0" applyAlignment="0" applyProtection="0"/>
    <xf numFmtId="0" fontId="47" fillId="0" borderId="18" applyNumberFormat="0" applyFill="0" applyAlignment="0" applyProtection="0"/>
    <xf numFmtId="0" fontId="31" fillId="38" borderId="16" applyNumberFormat="0" applyAlignment="0" applyProtection="0"/>
    <xf numFmtId="0" fontId="28" fillId="51" borderId="16" applyNumberFormat="0" applyAlignment="0" applyProtection="0"/>
    <xf numFmtId="4" fontId="18" fillId="27" borderId="24">
      <alignment horizontal="right" vertical="center"/>
    </xf>
    <xf numFmtId="0" fontId="13" fillId="27" borderId="24">
      <alignment horizontal="right" vertical="center"/>
    </xf>
    <xf numFmtId="167" fontId="16" fillId="55" borderId="24" applyNumberFormat="0" applyFont="0" applyBorder="0" applyAlignment="0" applyProtection="0">
      <alignment horizontal="right" vertical="center"/>
    </xf>
    <xf numFmtId="0" fontId="32" fillId="0" borderId="18" applyNumberFormat="0" applyFill="0" applyAlignment="0" applyProtection="0"/>
    <xf numFmtId="49" fontId="16" fillId="0" borderId="24" applyNumberFormat="0" applyFont="0" applyFill="0" applyBorder="0" applyProtection="0">
      <alignment horizontal="left" vertical="center" indent="2"/>
    </xf>
    <xf numFmtId="49" fontId="16" fillId="0" borderId="25" applyNumberFormat="0" applyFont="0" applyFill="0" applyBorder="0" applyProtection="0">
      <alignment horizontal="left" vertical="center" indent="5"/>
    </xf>
    <xf numFmtId="49" fontId="16" fillId="0" borderId="24" applyNumberFormat="0" applyFont="0" applyFill="0" applyBorder="0" applyProtection="0">
      <alignment horizontal="left" vertical="center" indent="2"/>
    </xf>
    <xf numFmtId="4" fontId="16" fillId="0" borderId="24" applyFill="0" applyBorder="0" applyProtection="0">
      <alignment horizontal="right" vertical="center"/>
    </xf>
    <xf numFmtId="49" fontId="15" fillId="0" borderId="24" applyNumberFormat="0" applyFill="0" applyBorder="0" applyProtection="0">
      <alignment horizontal="left" vertical="center"/>
    </xf>
    <xf numFmtId="0" fontId="16" fillId="0" borderId="27">
      <alignment horizontal="left" vertical="center" wrapText="1" indent="2"/>
    </xf>
    <xf numFmtId="0" fontId="44" fillId="51" borderId="15" applyNumberFormat="0" applyAlignment="0" applyProtection="0"/>
    <xf numFmtId="0" fontId="13" fillId="29" borderId="26">
      <alignment horizontal="right" vertical="center"/>
    </xf>
    <xf numFmtId="0" fontId="31" fillId="38" borderId="16" applyNumberFormat="0" applyAlignment="0" applyProtection="0"/>
    <xf numFmtId="0" fontId="13" fillId="29" borderId="26">
      <alignment horizontal="right" vertical="center"/>
    </xf>
    <xf numFmtId="4" fontId="13" fillId="29" borderId="24">
      <alignment horizontal="right" vertical="center"/>
    </xf>
    <xf numFmtId="0" fontId="13" fillId="29" borderId="24">
      <alignment horizontal="right" vertical="center"/>
    </xf>
    <xf numFmtId="0" fontId="25" fillId="51" borderId="15" applyNumberFormat="0" applyAlignment="0" applyProtection="0"/>
    <xf numFmtId="0" fontId="27" fillId="51" borderId="16" applyNumberFormat="0" applyAlignment="0" applyProtection="0"/>
    <xf numFmtId="0" fontId="32" fillId="0" borderId="18" applyNumberFormat="0" applyFill="0" applyAlignment="0" applyProtection="0"/>
    <xf numFmtId="0" fontId="16" fillId="28" borderId="24"/>
    <xf numFmtId="4" fontId="16" fillId="28" borderId="24"/>
    <xf numFmtId="4" fontId="13" fillId="29" borderId="24">
      <alignment horizontal="right" vertical="center"/>
    </xf>
    <xf numFmtId="0" fontId="18" fillId="27" borderId="24">
      <alignment horizontal="right" vertical="center"/>
    </xf>
    <xf numFmtId="0" fontId="31" fillId="38" borderId="16" applyNumberFormat="0" applyAlignment="0" applyProtection="0"/>
    <xf numFmtId="0" fontId="28" fillId="51" borderId="16" applyNumberFormat="0" applyAlignment="0" applyProtection="0"/>
    <xf numFmtId="4" fontId="16" fillId="0" borderId="24">
      <alignment horizontal="right" vertical="center"/>
    </xf>
    <xf numFmtId="0" fontId="16" fillId="29" borderId="27">
      <alignment horizontal="left" vertical="center" wrapText="1" indent="2"/>
    </xf>
    <xf numFmtId="0" fontId="16" fillId="0" borderId="27">
      <alignment horizontal="left" vertical="center" wrapText="1" indent="2"/>
    </xf>
    <xf numFmtId="0" fontId="44" fillId="51" borderId="15" applyNumberFormat="0" applyAlignment="0" applyProtection="0"/>
    <xf numFmtId="0" fontId="40" fillId="38" borderId="16" applyNumberFormat="0" applyAlignment="0" applyProtection="0"/>
    <xf numFmtId="0" fontId="27" fillId="51" borderId="16" applyNumberFormat="0" applyAlignment="0" applyProtection="0"/>
    <xf numFmtId="0" fontId="25" fillId="51" borderId="15" applyNumberFormat="0" applyAlignment="0" applyProtection="0"/>
    <xf numFmtId="0" fontId="13" fillId="29" borderId="26">
      <alignment horizontal="right" vertical="center"/>
    </xf>
    <xf numFmtId="0" fontId="18" fillId="27" borderId="24">
      <alignment horizontal="right" vertical="center"/>
    </xf>
    <xf numFmtId="4" fontId="13" fillId="27" borderId="24">
      <alignment horizontal="right" vertical="center"/>
    </xf>
    <xf numFmtId="4" fontId="13" fillId="29" borderId="24">
      <alignment horizontal="right" vertical="center"/>
    </xf>
    <xf numFmtId="49" fontId="16" fillId="0" borderId="25" applyNumberFormat="0" applyFont="0" applyFill="0" applyBorder="0" applyProtection="0">
      <alignment horizontal="left" vertical="center" indent="5"/>
    </xf>
    <xf numFmtId="4" fontId="16" fillId="0" borderId="24" applyFill="0" applyBorder="0" applyProtection="0">
      <alignment horizontal="right" vertical="center"/>
    </xf>
    <xf numFmtId="4" fontId="13" fillId="27" borderId="24">
      <alignment horizontal="right" vertical="center"/>
    </xf>
    <xf numFmtId="0" fontId="40" fillId="38" borderId="16" applyNumberFormat="0" applyAlignment="0" applyProtection="0"/>
    <xf numFmtId="0" fontId="31" fillId="38" borderId="16" applyNumberFormat="0" applyAlignment="0" applyProtection="0"/>
    <xf numFmtId="0" fontId="27" fillId="51" borderId="16" applyNumberFormat="0" applyAlignment="0" applyProtection="0"/>
    <xf numFmtId="0" fontId="16" fillId="29" borderId="27">
      <alignment horizontal="left" vertical="center" wrapText="1" indent="2"/>
    </xf>
    <xf numFmtId="0" fontId="16" fillId="0" borderId="27">
      <alignment horizontal="left" vertical="center" wrapText="1" indent="2"/>
    </xf>
    <xf numFmtId="0" fontId="16" fillId="29" borderId="27">
      <alignment horizontal="left" vertical="center" wrapText="1" indent="2"/>
    </xf>
    <xf numFmtId="9" fontId="4" fillId="0" borderId="0" applyFont="0" applyFill="0" applyBorder="0" applyAlignment="0" applyProtection="0"/>
    <xf numFmtId="0" fontId="74" fillId="0" borderId="0"/>
    <xf numFmtId="0" fontId="76" fillId="29" borderId="42">
      <alignment horizontal="right" vertical="center"/>
    </xf>
  </cellStyleXfs>
  <cellXfs count="184">
    <xf numFmtId="0" fontId="0" fillId="0" borderId="0" xfId="0"/>
    <xf numFmtId="0" fontId="0" fillId="3" borderId="0" xfId="0" applyFill="1"/>
    <xf numFmtId="0" fontId="3" fillId="0" borderId="0" xfId="0" applyFont="1"/>
    <xf numFmtId="0" fontId="0" fillId="4" borderId="0" xfId="0" applyFill="1"/>
    <xf numFmtId="2" fontId="0" fillId="4" borderId="0" xfId="0" applyNumberFormat="1" applyFill="1"/>
    <xf numFmtId="0" fontId="0" fillId="5" borderId="0" xfId="0" applyFill="1"/>
    <xf numFmtId="0" fontId="3" fillId="5" borderId="0" xfId="0" applyFont="1" applyFill="1"/>
    <xf numFmtId="2" fontId="0" fillId="5" borderId="0" xfId="0" applyNumberFormat="1" applyFill="1"/>
    <xf numFmtId="0" fontId="2" fillId="0" borderId="24" xfId="0" applyFont="1" applyBorder="1" applyAlignment="1">
      <alignment wrapText="1"/>
    </xf>
    <xf numFmtId="0" fontId="0" fillId="6" borderId="24" xfId="0" applyFill="1" applyBorder="1" applyAlignment="1">
      <alignment wrapText="1"/>
    </xf>
    <xf numFmtId="0" fontId="0" fillId="6" borderId="24" xfId="0" applyFill="1" applyBorder="1"/>
    <xf numFmtId="0" fontId="0" fillId="0" borderId="24" xfId="0" applyBorder="1"/>
    <xf numFmtId="0" fontId="0" fillId="0" borderId="24" xfId="0" applyFill="1" applyBorder="1"/>
    <xf numFmtId="0" fontId="0" fillId="0" borderId="24" xfId="0" applyBorder="1" applyAlignment="1">
      <alignment wrapText="1"/>
    </xf>
    <xf numFmtId="0" fontId="0" fillId="0" borderId="24" xfId="0" applyFill="1" applyBorder="1" applyAlignment="1">
      <alignment wrapText="1"/>
    </xf>
    <xf numFmtId="0" fontId="0" fillId="0" borderId="0" xfId="0"/>
    <xf numFmtId="0" fontId="0" fillId="0" borderId="0" xfId="0" applyFill="1"/>
    <xf numFmtId="0" fontId="2" fillId="0" borderId="24" xfId="0" applyFont="1" applyBorder="1"/>
    <xf numFmtId="0" fontId="0" fillId="3" borderId="24" xfId="0" applyFill="1" applyBorder="1"/>
    <xf numFmtId="0" fontId="0" fillId="2" borderId="24" xfId="0" applyFill="1" applyBorder="1" applyAlignment="1">
      <alignment wrapText="1"/>
    </xf>
    <xf numFmtId="9" fontId="0" fillId="0" borderId="0" xfId="0" applyNumberFormat="1"/>
    <xf numFmtId="0" fontId="0" fillId="0" borderId="0" xfId="0" applyAlignment="1">
      <alignment horizontal="right" wrapText="1"/>
    </xf>
    <xf numFmtId="3" fontId="0" fillId="0" borderId="0" xfId="0" applyNumberFormat="1"/>
    <xf numFmtId="0" fontId="0" fillId="0" borderId="0" xfId="0" applyAlignment="1">
      <alignment horizontal="right"/>
    </xf>
    <xf numFmtId="9" fontId="0" fillId="0" borderId="0" xfId="1332" applyFont="1"/>
    <xf numFmtId="0" fontId="0" fillId="0" borderId="0" xfId="0"/>
    <xf numFmtId="1" fontId="0" fillId="0" borderId="0" xfId="0" applyNumberFormat="1"/>
    <xf numFmtId="0" fontId="0" fillId="0" borderId="0" xfId="0"/>
    <xf numFmtId="0" fontId="0" fillId="0" borderId="0" xfId="0"/>
    <xf numFmtId="165" fontId="0" fillId="0" borderId="0" xfId="0" applyNumberFormat="1"/>
    <xf numFmtId="0" fontId="0" fillId="56" borderId="0" xfId="0" applyFill="1"/>
    <xf numFmtId="0" fontId="0" fillId="0" borderId="0" xfId="0" applyFont="1" applyFill="1" applyBorder="1" applyAlignment="1">
      <alignment horizontal="right" wrapText="1"/>
    </xf>
    <xf numFmtId="9" fontId="0" fillId="0" borderId="0" xfId="1332" applyFont="1" applyFill="1" applyBorder="1" applyAlignment="1">
      <alignment horizontal="right"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0" fillId="0" borderId="33" xfId="0" applyBorder="1" applyAlignment="1">
      <alignment vertical="top" wrapText="1"/>
    </xf>
    <xf numFmtId="0" fontId="63" fillId="0" borderId="33" xfId="0" applyFont="1" applyBorder="1" applyAlignment="1">
      <alignment horizontal="center" vertical="center" wrapText="1"/>
    </xf>
    <xf numFmtId="0" fontId="63" fillId="0" borderId="33" xfId="0" applyFont="1" applyBorder="1" applyAlignment="1">
      <alignment horizontal="right" vertical="center"/>
    </xf>
    <xf numFmtId="0" fontId="63" fillId="0" borderId="33" xfId="0" applyFont="1" applyBorder="1" applyAlignment="1">
      <alignment horizontal="right" vertical="center" wrapText="1"/>
    </xf>
    <xf numFmtId="3" fontId="63" fillId="0" borderId="33" xfId="0" applyNumberFormat="1" applyFont="1" applyBorder="1" applyAlignment="1">
      <alignment horizontal="right" vertical="center"/>
    </xf>
    <xf numFmtId="0" fontId="64" fillId="0" borderId="34" xfId="0" applyFont="1" applyBorder="1" applyAlignment="1">
      <alignment vertical="center"/>
    </xf>
    <xf numFmtId="0" fontId="62" fillId="0" borderId="13" xfId="0" applyFont="1" applyBorder="1" applyAlignment="1">
      <alignment vertical="center"/>
    </xf>
    <xf numFmtId="0" fontId="63" fillId="0" borderId="13" xfId="0" applyFont="1" applyBorder="1" applyAlignment="1">
      <alignment horizontal="right" vertical="center" wrapText="1"/>
    </xf>
    <xf numFmtId="0" fontId="62" fillId="0" borderId="33" xfId="0" applyFont="1" applyBorder="1" applyAlignment="1">
      <alignment vertical="center"/>
    </xf>
    <xf numFmtId="0" fontId="64" fillId="0" borderId="30" xfId="0" applyFont="1" applyBorder="1" applyAlignment="1">
      <alignment vertical="center"/>
    </xf>
    <xf numFmtId="0" fontId="63" fillId="0" borderId="13" xfId="0" applyFont="1" applyBorder="1" applyAlignment="1">
      <alignment horizontal="right" vertical="center"/>
    </xf>
    <xf numFmtId="0" fontId="63" fillId="0" borderId="0" xfId="0" applyFont="1" applyFill="1" applyBorder="1" applyAlignment="1">
      <alignment horizontal="center" vertical="center" wrapText="1"/>
    </xf>
    <xf numFmtId="0" fontId="0" fillId="0" borderId="0" xfId="0" applyAlignment="1">
      <alignment wrapText="1"/>
    </xf>
    <xf numFmtId="0" fontId="63" fillId="0" borderId="0" xfId="0" applyFont="1" applyBorder="1" applyAlignment="1">
      <alignment horizontal="center" vertical="center" wrapText="1"/>
    </xf>
    <xf numFmtId="0" fontId="66" fillId="0" borderId="0" xfId="0" applyFont="1" applyAlignment="1">
      <alignment horizontal="left" vertical="center"/>
    </xf>
    <xf numFmtId="0" fontId="67" fillId="0" borderId="0" xfId="0" applyFont="1" applyAlignment="1">
      <alignment horizontal="left" vertical="center"/>
    </xf>
    <xf numFmtId="0" fontId="68" fillId="57" borderId="35" xfId="0" applyFont="1" applyFill="1" applyBorder="1" applyAlignment="1">
      <alignment horizontal="right" vertical="center"/>
    </xf>
    <xf numFmtId="0" fontId="67" fillId="58" borderId="35" xfId="0" applyFont="1" applyFill="1" applyBorder="1" applyAlignment="1">
      <alignment horizontal="left" vertical="center"/>
    </xf>
    <xf numFmtId="0" fontId="0" fillId="59" borderId="0" xfId="0" applyFill="1"/>
    <xf numFmtId="0" fontId="67" fillId="60" borderId="35" xfId="0" applyFont="1" applyFill="1" applyBorder="1" applyAlignment="1">
      <alignment horizontal="left" vertical="center"/>
    </xf>
    <xf numFmtId="3" fontId="66" fillId="61" borderId="0" xfId="0" applyNumberFormat="1" applyFont="1" applyFill="1" applyAlignment="1">
      <alignment horizontal="right" vertical="center" shrinkToFit="1"/>
    </xf>
    <xf numFmtId="3" fontId="66" fillId="0" borderId="0" xfId="0" applyNumberFormat="1" applyFont="1" applyAlignment="1">
      <alignment horizontal="right" vertical="center" shrinkToFit="1"/>
    </xf>
    <xf numFmtId="3" fontId="66" fillId="4" borderId="0" xfId="0" applyNumberFormat="1" applyFont="1" applyFill="1" applyAlignment="1">
      <alignment horizontal="right" vertical="center" shrinkToFit="1"/>
    </xf>
    <xf numFmtId="0" fontId="68" fillId="57" borderId="0" xfId="0" applyFont="1" applyFill="1" applyBorder="1" applyAlignment="1">
      <alignment horizontal="left" vertical="center"/>
    </xf>
    <xf numFmtId="0" fontId="0" fillId="0" borderId="24" xfId="0" applyBorder="1" applyAlignment="1">
      <alignment horizontal="right"/>
    </xf>
    <xf numFmtId="0" fontId="0" fillId="0" borderId="24" xfId="0" applyFill="1" applyBorder="1" applyAlignment="1">
      <alignment horizontal="right"/>
    </xf>
    <xf numFmtId="0" fontId="0" fillId="3" borderId="0" xfId="0" applyFill="1" applyAlignment="1">
      <alignment wrapText="1"/>
    </xf>
    <xf numFmtId="0" fontId="0" fillId="3" borderId="24" xfId="0" applyFill="1" applyBorder="1" applyAlignment="1">
      <alignment wrapText="1"/>
    </xf>
    <xf numFmtId="0" fontId="0" fillId="3" borderId="24" xfId="0" applyNumberFormat="1" applyFill="1" applyBorder="1" applyAlignment="1">
      <alignment wrapText="1"/>
    </xf>
    <xf numFmtId="165" fontId="0" fillId="0" borderId="24" xfId="0" applyNumberFormat="1" applyFill="1" applyBorder="1" applyAlignment="1">
      <alignment wrapText="1"/>
    </xf>
    <xf numFmtId="0" fontId="0" fillId="0" borderId="24" xfId="0" applyBorder="1" applyAlignment="1">
      <alignment horizontal="right" wrapText="1"/>
    </xf>
    <xf numFmtId="2" fontId="0" fillId="0" borderId="24" xfId="0" applyNumberFormat="1" applyFill="1" applyBorder="1" applyAlignment="1">
      <alignment wrapText="1"/>
    </xf>
    <xf numFmtId="0" fontId="0" fillId="0" borderId="0" xfId="0" applyFill="1" applyAlignment="1">
      <alignment wrapText="1"/>
    </xf>
    <xf numFmtId="2" fontId="0" fillId="0" borderId="24" xfId="0" applyNumberFormat="1" applyBorder="1" applyAlignment="1">
      <alignment wrapText="1"/>
    </xf>
    <xf numFmtId="0" fontId="69" fillId="0" borderId="24" xfId="0" applyFont="1" applyFill="1" applyBorder="1" applyAlignment="1">
      <alignment wrapText="1"/>
    </xf>
    <xf numFmtId="0" fontId="69" fillId="0" borderId="24" xfId="0" quotePrefix="1" applyFont="1" applyFill="1" applyBorder="1" applyAlignment="1">
      <alignment wrapText="1"/>
    </xf>
    <xf numFmtId="165" fontId="0" fillId="0" borderId="24" xfId="0" applyNumberFormat="1" applyBorder="1"/>
    <xf numFmtId="0" fontId="0" fillId="0" borderId="0" xfId="0"/>
    <xf numFmtId="0" fontId="60" fillId="0" borderId="0" xfId="0" applyFont="1"/>
    <xf numFmtId="2" fontId="0" fillId="0" borderId="0" xfId="0" applyNumberFormat="1"/>
    <xf numFmtId="0" fontId="0" fillId="5" borderId="24" xfId="0" applyFill="1" applyBorder="1" applyAlignment="1">
      <alignment wrapText="1"/>
    </xf>
    <xf numFmtId="0" fontId="0" fillId="0" borderId="0" xfId="0"/>
    <xf numFmtId="0" fontId="0" fillId="0" borderId="0" xfId="0" applyAlignment="1">
      <alignment horizontal="left"/>
    </xf>
    <xf numFmtId="0" fontId="72" fillId="0" borderId="0" xfId="0" applyFont="1"/>
    <xf numFmtId="0" fontId="72" fillId="0" borderId="0" xfId="0" applyFont="1" applyAlignment="1">
      <alignment horizontal="left"/>
    </xf>
    <xf numFmtId="4" fontId="0" fillId="0" borderId="0" xfId="0" applyNumberFormat="1" applyAlignment="1">
      <alignment horizontal="right"/>
    </xf>
    <xf numFmtId="4" fontId="0" fillId="0" borderId="0" xfId="0" applyNumberFormat="1" applyAlignment="1">
      <alignment horizontal="left"/>
    </xf>
    <xf numFmtId="0" fontId="0" fillId="0" borderId="0" xfId="0" applyFont="1" applyFill="1" applyBorder="1" applyAlignment="1">
      <alignment horizontal="center" vertical="center" textRotation="90" wrapText="1"/>
    </xf>
    <xf numFmtId="0" fontId="63" fillId="0" borderId="30" xfId="0" applyFont="1" applyBorder="1" applyAlignment="1">
      <alignment vertical="center"/>
    </xf>
    <xf numFmtId="0" fontId="63" fillId="0" borderId="30" xfId="0" applyFont="1" applyBorder="1" applyAlignment="1">
      <alignment horizontal="right" vertical="center" wrapText="1"/>
    </xf>
    <xf numFmtId="0" fontId="0" fillId="0" borderId="36" xfId="0" applyFill="1" applyBorder="1" applyAlignment="1">
      <alignment wrapText="1"/>
    </xf>
    <xf numFmtId="0" fontId="60" fillId="0" borderId="0" xfId="0" applyFont="1" applyAlignment="1">
      <alignment horizontal="left"/>
    </xf>
    <xf numFmtId="165" fontId="0" fillId="0" borderId="24" xfId="0" applyNumberFormat="1" applyBorder="1" applyAlignment="1">
      <alignment horizontal="right"/>
    </xf>
    <xf numFmtId="0" fontId="0" fillId="2" borderId="0" xfId="0" applyFill="1" applyAlignment="1">
      <alignment horizontal="right" wrapText="1"/>
    </xf>
    <xf numFmtId="0" fontId="0" fillId="2" borderId="0" xfId="0" applyFill="1" applyAlignment="1">
      <alignment horizontal="right"/>
    </xf>
    <xf numFmtId="9" fontId="0" fillId="2" borderId="0" xfId="1332" applyFont="1" applyFill="1"/>
    <xf numFmtId="0" fontId="2" fillId="0" borderId="24" xfId="0" applyFont="1" applyFill="1" applyBorder="1"/>
    <xf numFmtId="0" fontId="2" fillId="0" borderId="24" xfId="0" applyFont="1" applyFill="1" applyBorder="1" applyAlignment="1">
      <alignment wrapText="1"/>
    </xf>
    <xf numFmtId="0" fontId="2" fillId="0" borderId="36" xfId="0" applyFont="1" applyFill="1" applyBorder="1" applyAlignment="1">
      <alignment wrapText="1"/>
    </xf>
    <xf numFmtId="0" fontId="60" fillId="0" borderId="0" xfId="0" applyFont="1" applyAlignment="1">
      <alignment horizontal="left"/>
    </xf>
    <xf numFmtId="0" fontId="0" fillId="2" borderId="0" xfId="0" applyFill="1"/>
    <xf numFmtId="0" fontId="15" fillId="29" borderId="24" xfId="1333" applyFont="1" applyFill="1" applyBorder="1" applyAlignment="1">
      <alignment horizontal="left" vertical="center"/>
    </xf>
    <xf numFmtId="0" fontId="15" fillId="29" borderId="38" xfId="1333" applyFont="1" applyFill="1" applyBorder="1" applyAlignment="1">
      <alignment horizontal="center" vertical="center" wrapText="1"/>
    </xf>
    <xf numFmtId="0" fontId="15" fillId="29" borderId="39" xfId="1333" applyFont="1" applyFill="1" applyBorder="1" applyAlignment="1">
      <alignment horizontal="center" wrapText="1"/>
    </xf>
    <xf numFmtId="0" fontId="15" fillId="29" borderId="40" xfId="4" applyFont="1" applyFill="1" applyBorder="1" applyAlignment="1">
      <alignment horizontal="center"/>
    </xf>
    <xf numFmtId="0" fontId="15" fillId="29" borderId="36" xfId="1333" applyFont="1" applyFill="1" applyBorder="1" applyAlignment="1">
      <alignment horizontal="left" vertical="center" wrapText="1"/>
    </xf>
    <xf numFmtId="2" fontId="16" fillId="62" borderId="24" xfId="0" applyNumberFormat="1" applyFont="1" applyFill="1" applyBorder="1" applyAlignment="1">
      <alignment horizontal="right"/>
    </xf>
    <xf numFmtId="0" fontId="15" fillId="29" borderId="24" xfId="1334" applyNumberFormat="1" applyFont="1" applyFill="1" applyBorder="1" applyAlignment="1" applyProtection="1">
      <alignment horizontal="left" vertical="center" indent="1"/>
    </xf>
    <xf numFmtId="0" fontId="15" fillId="29" borderId="24" xfId="1334" applyNumberFormat="1" applyFont="1" applyFill="1" applyBorder="1" applyAlignment="1" applyProtection="1">
      <alignment horizontal="left" vertical="center" indent="2"/>
    </xf>
    <xf numFmtId="2" fontId="16" fillId="7" borderId="24" xfId="0" applyNumberFormat="1" applyFont="1" applyFill="1" applyBorder="1" applyAlignment="1">
      <alignment horizontal="right"/>
    </xf>
    <xf numFmtId="0" fontId="77" fillId="29" borderId="24" xfId="1334" applyNumberFormat="1" applyFont="1" applyFill="1" applyBorder="1" applyAlignment="1" applyProtection="1">
      <alignment horizontal="left" vertical="center" indent="3"/>
    </xf>
    <xf numFmtId="0" fontId="16" fillId="29" borderId="24" xfId="1334" applyNumberFormat="1" applyFont="1" applyFill="1" applyBorder="1" applyAlignment="1" applyProtection="1">
      <alignment horizontal="left" vertical="center" indent="3"/>
    </xf>
    <xf numFmtId="0" fontId="16" fillId="29" borderId="24" xfId="1334" applyNumberFormat="1" applyFont="1" applyFill="1" applyBorder="1" applyAlignment="1" applyProtection="1">
      <alignment horizontal="left" vertical="center" indent="2"/>
    </xf>
    <xf numFmtId="0" fontId="15" fillId="29" borderId="24" xfId="1334" applyNumberFormat="1" applyFont="1" applyFill="1" applyBorder="1" applyAlignment="1" applyProtection="1">
      <alignment horizontal="left" vertical="center" indent="3"/>
    </xf>
    <xf numFmtId="0" fontId="77" fillId="29" borderId="24" xfId="1334" applyNumberFormat="1" applyFont="1" applyFill="1" applyBorder="1" applyAlignment="1" applyProtection="1">
      <alignment horizontal="left" vertical="center" indent="4"/>
    </xf>
    <xf numFmtId="0" fontId="16" fillId="29" borderId="24" xfId="1334" applyNumberFormat="1" applyFont="1" applyFill="1" applyBorder="1" applyAlignment="1" applyProtection="1">
      <alignment horizontal="left" vertical="center" indent="4"/>
    </xf>
    <xf numFmtId="0" fontId="16" fillId="63" borderId="24" xfId="0" applyFont="1" applyFill="1" applyBorder="1" applyAlignment="1">
      <alignment horizontal="left" indent="8"/>
    </xf>
    <xf numFmtId="2" fontId="16" fillId="63" borderId="24" xfId="0" applyNumberFormat="1" applyFont="1" applyFill="1" applyBorder="1" applyAlignment="1">
      <alignment horizontal="right"/>
    </xf>
    <xf numFmtId="0" fontId="16" fillId="7" borderId="24" xfId="0" applyFont="1" applyFill="1" applyBorder="1" applyAlignment="1">
      <alignment horizontal="left" indent="8"/>
    </xf>
    <xf numFmtId="0" fontId="16" fillId="63" borderId="24" xfId="0" applyFont="1" applyFill="1" applyBorder="1" applyAlignment="1">
      <alignment horizontal="left" indent="10"/>
    </xf>
    <xf numFmtId="1" fontId="0" fillId="0" borderId="0" xfId="0" applyNumberFormat="1" applyAlignment="1">
      <alignment horizontal="right"/>
    </xf>
    <xf numFmtId="168" fontId="0" fillId="0" borderId="0" xfId="0" applyNumberFormat="1"/>
    <xf numFmtId="0" fontId="0" fillId="0" borderId="0" xfId="0" applyFill="1" applyBorder="1"/>
    <xf numFmtId="0" fontId="16" fillId="29" borderId="43" xfId="1333" applyFont="1" applyFill="1" applyBorder="1" applyAlignment="1">
      <alignment horizontal="left" vertical="top"/>
    </xf>
    <xf numFmtId="2" fontId="81" fillId="62" borderId="24" xfId="0" applyNumberFormat="1" applyFont="1" applyFill="1" applyBorder="1" applyAlignment="1">
      <alignment horizontal="right"/>
    </xf>
    <xf numFmtId="2" fontId="81" fillId="7" borderId="24" xfId="0" applyNumberFormat="1" applyFont="1" applyFill="1" applyBorder="1" applyAlignment="1">
      <alignment horizontal="right"/>
    </xf>
    <xf numFmtId="0" fontId="15" fillId="29" borderId="24" xfId="1333" applyFont="1" applyFill="1" applyBorder="1" applyAlignment="1">
      <alignment horizontal="center" vertical="center" wrapText="1"/>
    </xf>
    <xf numFmtId="0" fontId="15" fillId="29" borderId="46" xfId="1333" applyFont="1" applyFill="1" applyBorder="1" applyAlignment="1">
      <alignment horizontal="center" vertical="center" wrapText="1"/>
    </xf>
    <xf numFmtId="0" fontId="15" fillId="29" borderId="7" xfId="1333" applyFont="1" applyFill="1" applyBorder="1" applyAlignment="1">
      <alignment horizontal="center" vertical="center" wrapText="1"/>
    </xf>
    <xf numFmtId="0" fontId="82" fillId="0" borderId="0" xfId="0" applyFont="1"/>
    <xf numFmtId="0" fontId="82" fillId="0" borderId="0" xfId="0" applyFont="1" applyAlignment="1">
      <alignment horizontal="right"/>
    </xf>
    <xf numFmtId="1" fontId="82" fillId="0" borderId="0" xfId="0" applyNumberFormat="1" applyFont="1" applyAlignment="1">
      <alignment horizontal="right"/>
    </xf>
    <xf numFmtId="1" fontId="0" fillId="2" borderId="0" xfId="0" applyNumberFormat="1" applyFill="1"/>
    <xf numFmtId="1" fontId="0" fillId="2" borderId="0" xfId="0" applyNumberFormat="1" applyFill="1" applyAlignment="1">
      <alignment horizontal="right"/>
    </xf>
    <xf numFmtId="0" fontId="82" fillId="2" borderId="0" xfId="0" applyFont="1" applyFill="1"/>
    <xf numFmtId="0" fontId="82" fillId="2" borderId="0" xfId="0" applyFont="1" applyFill="1" applyAlignment="1">
      <alignment horizontal="right"/>
    </xf>
    <xf numFmtId="1" fontId="82" fillId="2" borderId="0" xfId="0" applyNumberFormat="1" applyFont="1" applyFill="1" applyAlignment="1">
      <alignment horizontal="right"/>
    </xf>
    <xf numFmtId="0" fontId="10" fillId="2" borderId="0" xfId="0" applyFont="1" applyFill="1" applyAlignment="1">
      <alignment vertical="top"/>
    </xf>
    <xf numFmtId="0" fontId="10" fillId="0" borderId="0" xfId="0" applyFont="1" applyAlignment="1">
      <alignment vertical="top"/>
    </xf>
    <xf numFmtId="49" fontId="0" fillId="0" borderId="0" xfId="0" applyNumberFormat="1" applyAlignment="1">
      <alignment horizontal="right" wrapText="1"/>
    </xf>
    <xf numFmtId="49" fontId="0" fillId="2" borderId="0" xfId="0" applyNumberFormat="1" applyFill="1" applyAlignment="1">
      <alignment horizontal="right" wrapText="1"/>
    </xf>
    <xf numFmtId="0" fontId="83" fillId="64" borderId="0" xfId="0" applyFont="1" applyFill="1"/>
    <xf numFmtId="0" fontId="0" fillId="64" borderId="0" xfId="0" applyFill="1"/>
    <xf numFmtId="0" fontId="2" fillId="0" borderId="24" xfId="0" applyFont="1" applyBorder="1" applyAlignment="1">
      <alignment horizontal="center" vertical="center"/>
    </xf>
    <xf numFmtId="0" fontId="2" fillId="0" borderId="24" xfId="0" applyFont="1" applyFill="1" applyBorder="1" applyAlignment="1">
      <alignment horizontal="center" vertical="center" wrapText="1"/>
    </xf>
    <xf numFmtId="0" fontId="0" fillId="0" borderId="0" xfId="0" applyAlignment="1">
      <alignment horizontal="center" vertical="top" wrapText="1"/>
    </xf>
    <xf numFmtId="0" fontId="0" fillId="2" borderId="0" xfId="0" applyFill="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Font="1" applyFill="1" applyBorder="1" applyAlignment="1">
      <alignment horizontal="center" vertical="center" textRotation="90"/>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textRotation="90" wrapText="1"/>
    </xf>
    <xf numFmtId="0" fontId="0" fillId="0" borderId="0" xfId="0" applyAlignment="1">
      <alignment horizontal="center" vertical="center"/>
    </xf>
    <xf numFmtId="0" fontId="0" fillId="0" borderId="0" xfId="0" applyAlignment="1">
      <alignment horizontal="center" vertical="center" wrapText="1"/>
    </xf>
    <xf numFmtId="0" fontId="0" fillId="2" borderId="0" xfId="0" applyFill="1" applyAlignment="1">
      <alignment horizontal="center"/>
    </xf>
    <xf numFmtId="0" fontId="10" fillId="0" borderId="0" xfId="0" applyFont="1" applyAlignment="1">
      <alignment horizontal="center" vertical="center" wrapText="1"/>
    </xf>
    <xf numFmtId="0" fontId="63" fillId="0" borderId="28" xfId="0" applyFont="1" applyBorder="1" applyAlignment="1">
      <alignment horizontal="right" vertical="center"/>
    </xf>
    <xf numFmtId="0" fontId="63" fillId="0" borderId="30" xfId="0" applyFont="1" applyBorder="1" applyAlignment="1">
      <alignment horizontal="right" vertical="center"/>
    </xf>
    <xf numFmtId="0" fontId="0" fillId="2" borderId="0" xfId="0" applyFill="1" applyAlignment="1">
      <alignment horizontal="center" vertical="top"/>
    </xf>
    <xf numFmtId="49" fontId="0" fillId="2" borderId="0" xfId="0" applyNumberFormat="1" applyFill="1" applyAlignment="1">
      <alignment horizontal="center" vertical="top"/>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28" xfId="0" applyFont="1" applyBorder="1" applyAlignment="1">
      <alignment vertical="center"/>
    </xf>
    <xf numFmtId="0" fontId="63" fillId="0" borderId="30" xfId="0" applyFont="1" applyBorder="1" applyAlignment="1">
      <alignment vertical="center"/>
    </xf>
    <xf numFmtId="0" fontId="63" fillId="0" borderId="28" xfId="0" applyFont="1" applyBorder="1" applyAlignment="1">
      <alignment horizontal="right" vertical="center" wrapText="1"/>
    </xf>
    <xf numFmtId="0" fontId="63" fillId="0" borderId="30" xfId="0" applyFont="1" applyBorder="1" applyAlignment="1">
      <alignment horizontal="right" vertical="center" wrapText="1"/>
    </xf>
    <xf numFmtId="0" fontId="68" fillId="57" borderId="35" xfId="0" applyFont="1" applyFill="1" applyBorder="1" applyAlignment="1">
      <alignment horizontal="left" vertical="center"/>
    </xf>
    <xf numFmtId="0" fontId="15" fillId="29" borderId="38" xfId="1333" applyFont="1" applyFill="1" applyBorder="1" applyAlignment="1">
      <alignment horizontal="center" vertical="center" wrapText="1"/>
    </xf>
    <xf numFmtId="0" fontId="15" fillId="29" borderId="36" xfId="1333" applyFont="1" applyFill="1" applyBorder="1" applyAlignment="1">
      <alignment horizontal="center" vertical="center" wrapText="1"/>
    </xf>
    <xf numFmtId="0" fontId="15" fillId="29" borderId="7" xfId="1333" applyFont="1" applyFill="1" applyBorder="1" applyAlignment="1">
      <alignment horizontal="center" vertical="center" wrapText="1"/>
    </xf>
    <xf numFmtId="0" fontId="15" fillId="29" borderId="39" xfId="1333" applyFont="1" applyFill="1" applyBorder="1" applyAlignment="1">
      <alignment horizontal="center" vertical="center" wrapText="1"/>
    </xf>
    <xf numFmtId="0" fontId="15" fillId="29" borderId="44" xfId="1333" applyFont="1" applyFill="1" applyBorder="1" applyAlignment="1">
      <alignment horizontal="center" vertical="center" wrapText="1"/>
    </xf>
    <xf numFmtId="0" fontId="15" fillId="29" borderId="46" xfId="1333" applyFont="1" applyFill="1" applyBorder="1" applyAlignment="1">
      <alignment horizontal="center" vertical="center" wrapText="1"/>
    </xf>
    <xf numFmtId="0" fontId="15" fillId="29" borderId="47" xfId="1333" applyFont="1" applyFill="1" applyBorder="1" applyAlignment="1">
      <alignment horizontal="center" vertical="center" wrapText="1"/>
    </xf>
    <xf numFmtId="0" fontId="15" fillId="29" borderId="49" xfId="1333" applyFont="1" applyFill="1" applyBorder="1" applyAlignment="1">
      <alignment horizontal="center" vertical="center" wrapText="1"/>
    </xf>
    <xf numFmtId="0" fontId="15" fillId="29" borderId="50" xfId="1333" applyFont="1" applyFill="1" applyBorder="1" applyAlignment="1">
      <alignment horizontal="center" vertical="center" wrapText="1"/>
    </xf>
    <xf numFmtId="0" fontId="15" fillId="29" borderId="51" xfId="1333" applyFont="1" applyFill="1" applyBorder="1" applyAlignment="1">
      <alignment horizontal="center" vertical="center" wrapText="1"/>
    </xf>
    <xf numFmtId="0" fontId="15" fillId="29" borderId="38" xfId="1333" applyFont="1" applyFill="1" applyBorder="1" applyAlignment="1">
      <alignment horizontal="left" vertical="center" wrapText="1"/>
    </xf>
    <xf numFmtId="0" fontId="15" fillId="29" borderId="36" xfId="1333" applyFont="1" applyFill="1" applyBorder="1" applyAlignment="1">
      <alignment horizontal="left" vertical="center" wrapText="1"/>
    </xf>
    <xf numFmtId="0" fontId="15" fillId="29" borderId="40" xfId="1333" applyFont="1" applyFill="1" applyBorder="1" applyAlignment="1">
      <alignment horizontal="left" vertical="center" wrapText="1"/>
    </xf>
    <xf numFmtId="0" fontId="15" fillId="29" borderId="40" xfId="1333" applyFont="1" applyFill="1" applyBorder="1" applyAlignment="1">
      <alignment horizontal="center" vertical="center" wrapText="1"/>
    </xf>
    <xf numFmtId="0" fontId="15" fillId="29" borderId="45" xfId="1333" applyFont="1" applyFill="1" applyBorder="1" applyAlignment="1">
      <alignment horizontal="center" vertical="center" wrapText="1"/>
    </xf>
    <xf numFmtId="0" fontId="15" fillId="29" borderId="48" xfId="1333" applyFont="1" applyFill="1" applyBorder="1" applyAlignment="1">
      <alignment horizontal="center" vertical="center" wrapText="1"/>
    </xf>
    <xf numFmtId="0" fontId="15" fillId="29" borderId="37" xfId="1333" applyFont="1" applyFill="1" applyBorder="1" applyAlignment="1">
      <alignment horizontal="center" vertical="center" wrapText="1"/>
    </xf>
    <xf numFmtId="0" fontId="15" fillId="29" borderId="11" xfId="1333" applyFont="1" applyFill="1" applyBorder="1" applyAlignment="1">
      <alignment horizontal="center" vertical="center" wrapText="1"/>
    </xf>
    <xf numFmtId="0" fontId="60" fillId="0" borderId="0" xfId="0" applyFont="1" applyAlignment="1">
      <alignment horizontal="left"/>
    </xf>
    <xf numFmtId="0" fontId="15" fillId="29" borderId="0" xfId="1333" applyFont="1" applyFill="1" applyBorder="1" applyAlignment="1">
      <alignment horizontal="center" vertical="center" wrapText="1"/>
    </xf>
    <xf numFmtId="0" fontId="15" fillId="29" borderId="41" xfId="1333" applyFont="1" applyFill="1" applyBorder="1" applyAlignment="1">
      <alignment horizontal="center" vertical="center" wrapText="1"/>
    </xf>
  </cellXfs>
  <cellStyles count="1335">
    <cellStyle name="???????????" xfId="38"/>
    <cellStyle name="???????_2++" xfId="39"/>
    <cellStyle name="20 % - Akzent1" xfId="50" hidden="1"/>
    <cellStyle name="20 % - Akzent1" xfId="897" hidden="1"/>
    <cellStyle name="20 % - Akzent1 2" xfId="373"/>
    <cellStyle name="20 % - Akzent1 3" xfId="242"/>
    <cellStyle name="20 % - Akzent2" xfId="53" hidden="1"/>
    <cellStyle name="20 % - Akzent2" xfId="900" hidden="1"/>
    <cellStyle name="20 % - Akzent2 2" xfId="374"/>
    <cellStyle name="20 % - Akzent2 3" xfId="243"/>
    <cellStyle name="20 % - Akzent3" xfId="56" hidden="1"/>
    <cellStyle name="20 % - Akzent3" xfId="903" hidden="1"/>
    <cellStyle name="20 % - Akzent3 2" xfId="375"/>
    <cellStyle name="20 % - Akzent3 3" xfId="244"/>
    <cellStyle name="20 % - Akzent4" xfId="59" hidden="1"/>
    <cellStyle name="20 % - Akzent4" xfId="906" hidden="1"/>
    <cellStyle name="20 % - Akzent4 2" xfId="376"/>
    <cellStyle name="20 % - Akzent4 3" xfId="245"/>
    <cellStyle name="20 % - Akzent5" xfId="62" hidden="1"/>
    <cellStyle name="20 % - Akzent5" xfId="909" hidden="1"/>
    <cellStyle name="20 % - Akzent5 2" xfId="377"/>
    <cellStyle name="20 % - Akzent5 3" xfId="246"/>
    <cellStyle name="20 % - Akzent6" xfId="65" hidden="1"/>
    <cellStyle name="20 % - Akzent6" xfId="912" hidden="1"/>
    <cellStyle name="20 % - Akzent6 2" xfId="378"/>
    <cellStyle name="20 % - Akzent6 3" xfId="247"/>
    <cellStyle name="20% - Accent1 2" xfId="79"/>
    <cellStyle name="20% - Accent1 3" xfId="199"/>
    <cellStyle name="20% - Accent2 2" xfId="80"/>
    <cellStyle name="20% - Accent2 3" xfId="200"/>
    <cellStyle name="20% - Accent3 2" xfId="81"/>
    <cellStyle name="20% - Accent3 3" xfId="201"/>
    <cellStyle name="20% - Accent4 2" xfId="82"/>
    <cellStyle name="20% - Accent4 3" xfId="202"/>
    <cellStyle name="20% - Accent5 2" xfId="83"/>
    <cellStyle name="20% - Accent5 3" xfId="203"/>
    <cellStyle name="20% - Accent6 2" xfId="84"/>
    <cellStyle name="20% - Accent6 3" xfId="204"/>
    <cellStyle name="2x indented GHG Textfiels" xfId="8"/>
    <cellStyle name="2x indented GHG Textfiels 2" xfId="85"/>
    <cellStyle name="2x indented GHG Textfiels 2 2" xfId="86"/>
    <cellStyle name="2x indented GHG Textfiels 3" xfId="87"/>
    <cellStyle name="2x indented GHG Textfiels 3 2" xfId="400"/>
    <cellStyle name="2x indented GHG Textfiels 3 2 2" xfId="530"/>
    <cellStyle name="2x indented GHG Textfiels 3 2 2 2" xfId="745"/>
    <cellStyle name="2x indented GHG Textfiels 3 2 2 2 2" xfId="1186"/>
    <cellStyle name="2x indented GHG Textfiels 3 2 2 3" xfId="980"/>
    <cellStyle name="2x indented GHG Textfiels 3 2 3" xfId="708"/>
    <cellStyle name="2x indented GHG Textfiels 3 2 3 2" xfId="1149"/>
    <cellStyle name="2x indented GHG Textfiels 3 3" xfId="348"/>
    <cellStyle name="2x indented GHG Textfiels 3 3 2" xfId="635"/>
    <cellStyle name="2x indented GHG Textfiels 3 3 2 2" xfId="850"/>
    <cellStyle name="2x indented GHG Textfiels 3 3 2 2 2" xfId="1291"/>
    <cellStyle name="2x indented GHG Textfiels 3 3 2 3" xfId="1085"/>
    <cellStyle name="2x indented GHG Textfiels 3 3 3" xfId="637"/>
    <cellStyle name="2x indented GHG Textfiels 3 3 3 2" xfId="852"/>
    <cellStyle name="2x indented GHG Textfiels 3 3 3 2 2" xfId="1293"/>
    <cellStyle name="2x indented GHG Textfiels 3 3 3 3" xfId="1087"/>
    <cellStyle name="2x indented GHG Textfiels 3 3 4" xfId="533"/>
    <cellStyle name="2x indented GHG Textfiels 3 3 4 2" xfId="748"/>
    <cellStyle name="2x indented GHG Textfiels 3 3 4 2 2" xfId="1189"/>
    <cellStyle name="2x indented GHG Textfiels 3 3 4 3" xfId="983"/>
    <cellStyle name="2x indented GHG Textfiels 3 3 5" xfId="951"/>
    <cellStyle name="40 % - Akzent1" xfId="51" hidden="1"/>
    <cellStyle name="40 % - Akzent1" xfId="898" hidden="1"/>
    <cellStyle name="40 % - Akzent1 2" xfId="379"/>
    <cellStyle name="40 % - Akzent1 3" xfId="248"/>
    <cellStyle name="40 % - Akzent2" xfId="54" hidden="1"/>
    <cellStyle name="40 % - Akzent2" xfId="901" hidden="1"/>
    <cellStyle name="40 % - Akzent2 2" xfId="380"/>
    <cellStyle name="40 % - Akzent2 3" xfId="249"/>
    <cellStyle name="40 % - Akzent3" xfId="57" hidden="1"/>
    <cellStyle name="40 % - Akzent3" xfId="904" hidden="1"/>
    <cellStyle name="40 % - Akzent3 2" xfId="381"/>
    <cellStyle name="40 % - Akzent3 3" xfId="250"/>
    <cellStyle name="40 % - Akzent4" xfId="60" hidden="1"/>
    <cellStyle name="40 % - Akzent4" xfId="907" hidden="1"/>
    <cellStyle name="40 % - Akzent4 2" xfId="382"/>
    <cellStyle name="40 % - Akzent4 3" xfId="251"/>
    <cellStyle name="40 % - Akzent5" xfId="63" hidden="1"/>
    <cellStyle name="40 % - Akzent5" xfId="910" hidden="1"/>
    <cellStyle name="40 % - Akzent5 2" xfId="383"/>
    <cellStyle name="40 % - Akzent5 3" xfId="252"/>
    <cellStyle name="40 % - Akzent6" xfId="66" hidden="1"/>
    <cellStyle name="40 % - Akzent6" xfId="913" hidden="1"/>
    <cellStyle name="40 % - Akzent6 2" xfId="384"/>
    <cellStyle name="40 % - Akzent6 3" xfId="253"/>
    <cellStyle name="40% - Accent1 2" xfId="88"/>
    <cellStyle name="40% - Accent1 3" xfId="205"/>
    <cellStyle name="40% - Accent2 2" xfId="89"/>
    <cellStyle name="40% - Accent2 3" xfId="206"/>
    <cellStyle name="40% - Accent3 2" xfId="90"/>
    <cellStyle name="40% - Accent3 3" xfId="207"/>
    <cellStyle name="40% - Accent4 2" xfId="91"/>
    <cellStyle name="40% - Accent4 3" xfId="208"/>
    <cellStyle name="40% - Accent5 2" xfId="92"/>
    <cellStyle name="40% - Accent5 3" xfId="209"/>
    <cellStyle name="40% - Accent6 2" xfId="93"/>
    <cellStyle name="40% - Accent6 3" xfId="210"/>
    <cellStyle name="5x indented GHG Textfiels" xfId="12"/>
    <cellStyle name="5x indented GHG Textfiels 2" xfId="94"/>
    <cellStyle name="5x indented GHG Textfiels 2 2" xfId="95"/>
    <cellStyle name="5x indented GHG Textfiels 3" xfId="96"/>
    <cellStyle name="5x indented GHG Textfiels 3 2" xfId="401"/>
    <cellStyle name="5x indented GHG Textfiels 3 3" xfId="349"/>
    <cellStyle name="5x indented GHG Textfiels 3 3 2" xfId="636"/>
    <cellStyle name="5x indented GHG Textfiels 3 3 2 2" xfId="851"/>
    <cellStyle name="5x indented GHG Textfiels 3 3 2 2 2" xfId="1292"/>
    <cellStyle name="5x indented GHG Textfiels 3 3 2 3" xfId="1086"/>
    <cellStyle name="5x indented GHG Textfiels 3 3 3" xfId="583"/>
    <cellStyle name="5x indented GHG Textfiels 3 3 3 2" xfId="798"/>
    <cellStyle name="5x indented GHG Textfiels 3 3 3 2 2" xfId="1239"/>
    <cellStyle name="5x indented GHG Textfiels 3 3 3 3" xfId="1033"/>
    <cellStyle name="5x indented GHG Textfiels 3 3 4" xfId="667"/>
    <cellStyle name="5x indented GHG Textfiels 3 3 4 2" xfId="882"/>
    <cellStyle name="5x indented GHG Textfiels 3 3 4 2 2" xfId="1323"/>
    <cellStyle name="5x indented GHG Textfiels 3 3 4 3" xfId="1117"/>
    <cellStyle name="5x indented GHG Textfiels 3 3 5" xfId="704"/>
    <cellStyle name="5x indented GHG Textfiels 3 3 6" xfId="952"/>
    <cellStyle name="5x indented GHG Textfiels_Table 4(II)" xfId="191"/>
    <cellStyle name="60 % - Akzent1" xfId="52" hidden="1"/>
    <cellStyle name="60 % - Akzent1" xfId="899" hidden="1"/>
    <cellStyle name="60 % - Akzent1 2" xfId="385"/>
    <cellStyle name="60 % - Akzent1 3" xfId="254"/>
    <cellStyle name="60 % - Akzent2" xfId="55" hidden="1"/>
    <cellStyle name="60 % - Akzent2" xfId="902" hidden="1"/>
    <cellStyle name="60 % - Akzent2 2" xfId="386"/>
    <cellStyle name="60 % - Akzent2 3" xfId="255"/>
    <cellStyle name="60 % - Akzent3" xfId="58" hidden="1"/>
    <cellStyle name="60 % - Akzent3" xfId="905" hidden="1"/>
    <cellStyle name="60 % - Akzent3 2" xfId="387"/>
    <cellStyle name="60 % - Akzent3 3" xfId="256"/>
    <cellStyle name="60 % - Akzent4" xfId="61" hidden="1"/>
    <cellStyle name="60 % - Akzent4" xfId="908" hidden="1"/>
    <cellStyle name="60 % - Akzent4 2" xfId="388"/>
    <cellStyle name="60 % - Akzent4 3" xfId="257"/>
    <cellStyle name="60 % - Akzent5" xfId="64" hidden="1"/>
    <cellStyle name="60 % - Akzent5" xfId="911" hidden="1"/>
    <cellStyle name="60 % - Akzent5 2" xfId="389"/>
    <cellStyle name="60 % - Akzent5 3" xfId="258"/>
    <cellStyle name="60 % - Akzent6" xfId="67" hidden="1"/>
    <cellStyle name="60 % - Akzent6" xfId="914" hidden="1"/>
    <cellStyle name="60 % - Akzent6 2" xfId="390"/>
    <cellStyle name="60 % - Akzent6 3" xfId="259"/>
    <cellStyle name="60% - Accent1 2" xfId="97"/>
    <cellStyle name="60% - Accent1 3" xfId="211"/>
    <cellStyle name="60% - Accent2 2" xfId="98"/>
    <cellStyle name="60% - Accent2 3" xfId="212"/>
    <cellStyle name="60% - Accent3 2" xfId="99"/>
    <cellStyle name="60% - Accent3 3" xfId="213"/>
    <cellStyle name="60% - Accent4 2" xfId="100"/>
    <cellStyle name="60% - Accent4 3" xfId="214"/>
    <cellStyle name="60% - Accent5 2" xfId="101"/>
    <cellStyle name="60% - Accent5 3" xfId="215"/>
    <cellStyle name="60% - Accent6 2" xfId="102"/>
    <cellStyle name="60% - Accent6 3" xfId="216"/>
    <cellStyle name="Accent1 2" xfId="103"/>
    <cellStyle name="Accent1 3" xfId="217"/>
    <cellStyle name="Accent1 4" xfId="350"/>
    <cellStyle name="Accent2 2" xfId="104"/>
    <cellStyle name="Accent2 3" xfId="218"/>
    <cellStyle name="Accent2 4" xfId="351"/>
    <cellStyle name="Accent3 2" xfId="105"/>
    <cellStyle name="Accent3 3" xfId="219"/>
    <cellStyle name="Accent3 4" xfId="352"/>
    <cellStyle name="Accent4 2" xfId="106"/>
    <cellStyle name="Accent4 3" xfId="220"/>
    <cellStyle name="Accent4 4" xfId="353"/>
    <cellStyle name="Accent5 2" xfId="107"/>
    <cellStyle name="Accent5 3" xfId="221"/>
    <cellStyle name="Accent5 4" xfId="354"/>
    <cellStyle name="Accent6 2" xfId="108"/>
    <cellStyle name="Accent6 3" xfId="222"/>
    <cellStyle name="Accent6 4" xfId="355"/>
    <cellStyle name="AggblueBoldCels" xfId="109"/>
    <cellStyle name="AggblueBoldCels 2" xfId="110"/>
    <cellStyle name="AggblueCels" xfId="33"/>
    <cellStyle name="AggblueCels 2" xfId="111"/>
    <cellStyle name="AggblueCels_1x" xfId="32"/>
    <cellStyle name="AggBoldCells" xfId="6"/>
    <cellStyle name="AggBoldCells 2" xfId="112"/>
    <cellStyle name="AggBoldCells 3" xfId="192"/>
    <cellStyle name="AggBoldCells 4" xfId="344"/>
    <cellStyle name="AggCels" xfId="9"/>
    <cellStyle name="AggCels 2" xfId="113"/>
    <cellStyle name="AggCels 3" xfId="193"/>
    <cellStyle name="AggCels 4" xfId="345"/>
    <cellStyle name="AggCels_T(2)" xfId="7"/>
    <cellStyle name="AggGreen" xfId="23"/>
    <cellStyle name="AggGreen 2" xfId="114"/>
    <cellStyle name="AggGreen 2 2" xfId="403"/>
    <cellStyle name="AggGreen 2 2 2" xfId="580"/>
    <cellStyle name="AggGreen 2 2 2 2" xfId="795"/>
    <cellStyle name="AggGreen 2 2 2 2 2" xfId="1236"/>
    <cellStyle name="AggGreen 2 2 2 3" xfId="1030"/>
    <cellStyle name="AggGreen 2 2 3" xfId="710"/>
    <cellStyle name="AggGreen 2 2 3 2" xfId="1151"/>
    <cellStyle name="AggGreen 2 3" xfId="261"/>
    <cellStyle name="AggGreen 2 3 2" xfId="600"/>
    <cellStyle name="AggGreen 2 3 2 2" xfId="815"/>
    <cellStyle name="AggGreen 2 3 2 2 2" xfId="1256"/>
    <cellStyle name="AggGreen 2 3 2 3" xfId="1050"/>
    <cellStyle name="AggGreen 2 3 3" xfId="669"/>
    <cellStyle name="AggGreen 2 3 3 2" xfId="884"/>
    <cellStyle name="AggGreen 2 3 3 2 2" xfId="1325"/>
    <cellStyle name="AggGreen 2 3 3 3" xfId="1119"/>
    <cellStyle name="AggGreen 2 3 4" xfId="665"/>
    <cellStyle name="AggGreen 2 3 4 2" xfId="880"/>
    <cellStyle name="AggGreen 2 3 4 2 2" xfId="1321"/>
    <cellStyle name="AggGreen 2 3 4 3" xfId="1115"/>
    <cellStyle name="AggGreen 2 3 5" xfId="927"/>
    <cellStyle name="AggGreen 3" xfId="402"/>
    <cellStyle name="AggGreen 3 2" xfId="529"/>
    <cellStyle name="AggGreen 3 2 2" xfId="744"/>
    <cellStyle name="AggGreen 3 2 2 2" xfId="1185"/>
    <cellStyle name="AggGreen 3 2 3" xfId="979"/>
    <cellStyle name="AggGreen 3 3" xfId="709"/>
    <cellStyle name="AggGreen 3 3 2" xfId="1150"/>
    <cellStyle name="AggGreen 4" xfId="260"/>
    <cellStyle name="AggGreen 4 2" xfId="599"/>
    <cellStyle name="AggGreen 4 2 2" xfId="814"/>
    <cellStyle name="AggGreen 4 2 2 2" xfId="1255"/>
    <cellStyle name="AggGreen 4 2 3" xfId="1049"/>
    <cellStyle name="AggGreen 4 3" xfId="514"/>
    <cellStyle name="AggGreen 4 3 2" xfId="729"/>
    <cellStyle name="AggGreen 4 3 2 2" xfId="1170"/>
    <cellStyle name="AggGreen 4 3 3" xfId="964"/>
    <cellStyle name="AggGreen 4 4" xfId="632"/>
    <cellStyle name="AggGreen 4 4 2" xfId="847"/>
    <cellStyle name="AggGreen 4 4 2 2" xfId="1288"/>
    <cellStyle name="AggGreen 4 4 3" xfId="1082"/>
    <cellStyle name="AggGreen 4 5" xfId="926"/>
    <cellStyle name="AggGreen 5" xfId="76"/>
    <cellStyle name="AggGreen_Bbdr" xfId="24"/>
    <cellStyle name="AggGreen12" xfId="21"/>
    <cellStyle name="AggGreen12 2" xfId="115"/>
    <cellStyle name="AggGreen12 2 2" xfId="405"/>
    <cellStyle name="AggGreen12 2 2 2" xfId="598"/>
    <cellStyle name="AggGreen12 2 2 2 2" xfId="813"/>
    <cellStyle name="AggGreen12 2 2 2 2 2" xfId="1254"/>
    <cellStyle name="AggGreen12 2 2 2 3" xfId="1048"/>
    <cellStyle name="AggGreen12 2 2 3" xfId="712"/>
    <cellStyle name="AggGreen12 2 2 3 2" xfId="1153"/>
    <cellStyle name="AggGreen12 2 3" xfId="263"/>
    <cellStyle name="AggGreen12 2 3 2" xfId="602"/>
    <cellStyle name="AggGreen12 2 3 2 2" xfId="817"/>
    <cellStyle name="AggGreen12 2 3 2 2 2" xfId="1258"/>
    <cellStyle name="AggGreen12 2 3 2 3" xfId="1052"/>
    <cellStyle name="AggGreen12 2 3 3" xfId="551"/>
    <cellStyle name="AggGreen12 2 3 3 2" xfId="766"/>
    <cellStyle name="AggGreen12 2 3 3 2 2" xfId="1207"/>
    <cellStyle name="AggGreen12 2 3 3 3" xfId="1001"/>
    <cellStyle name="AggGreen12 2 3 4" xfId="631"/>
    <cellStyle name="AggGreen12 2 3 4 2" xfId="846"/>
    <cellStyle name="AggGreen12 2 3 4 2 2" xfId="1287"/>
    <cellStyle name="AggGreen12 2 3 4 3" xfId="1081"/>
    <cellStyle name="AggGreen12 2 3 5" xfId="929"/>
    <cellStyle name="AggGreen12 3" xfId="404"/>
    <cellStyle name="AggGreen12 3 2" xfId="528"/>
    <cellStyle name="AggGreen12 3 2 2" xfId="743"/>
    <cellStyle name="AggGreen12 3 2 2 2" xfId="1184"/>
    <cellStyle name="AggGreen12 3 2 3" xfId="978"/>
    <cellStyle name="AggGreen12 3 3" xfId="711"/>
    <cellStyle name="AggGreen12 3 3 2" xfId="1152"/>
    <cellStyle name="AggGreen12 4" xfId="262"/>
    <cellStyle name="AggGreen12 4 2" xfId="601"/>
    <cellStyle name="AggGreen12 4 2 2" xfId="816"/>
    <cellStyle name="AggGreen12 4 2 2 2" xfId="1257"/>
    <cellStyle name="AggGreen12 4 2 3" xfId="1051"/>
    <cellStyle name="AggGreen12 4 3" xfId="653"/>
    <cellStyle name="AggGreen12 4 3 2" xfId="868"/>
    <cellStyle name="AggGreen12 4 3 2 2" xfId="1309"/>
    <cellStyle name="AggGreen12 4 3 3" xfId="1103"/>
    <cellStyle name="AggGreen12 4 4" xfId="664"/>
    <cellStyle name="AggGreen12 4 4 2" xfId="879"/>
    <cellStyle name="AggGreen12 4 4 2 2" xfId="1320"/>
    <cellStyle name="AggGreen12 4 4 3" xfId="1114"/>
    <cellStyle name="AggGreen12 4 5" xfId="928"/>
    <cellStyle name="AggGreen12 5" xfId="74"/>
    <cellStyle name="AggOrange" xfId="16"/>
    <cellStyle name="AggOrange 2" xfId="116"/>
    <cellStyle name="AggOrange 2 2" xfId="407"/>
    <cellStyle name="AggOrange 2 2 2" xfId="527"/>
    <cellStyle name="AggOrange 2 2 2 2" xfId="742"/>
    <cellStyle name="AggOrange 2 2 2 2 2" xfId="1183"/>
    <cellStyle name="AggOrange 2 2 2 3" xfId="977"/>
    <cellStyle name="AggOrange 2 2 3" xfId="714"/>
    <cellStyle name="AggOrange 2 2 3 2" xfId="1155"/>
    <cellStyle name="AggOrange 2 3" xfId="265"/>
    <cellStyle name="AggOrange 2 3 2" xfId="604"/>
    <cellStyle name="AggOrange 2 3 2 2" xfId="819"/>
    <cellStyle name="AggOrange 2 3 2 2 2" xfId="1260"/>
    <cellStyle name="AggOrange 2 3 2 3" xfId="1054"/>
    <cellStyle name="AggOrange 2 3 3" xfId="511"/>
    <cellStyle name="AggOrange 2 3 3 2" xfId="726"/>
    <cellStyle name="AggOrange 2 3 3 2 2" xfId="1167"/>
    <cellStyle name="AggOrange 2 3 3 3" xfId="961"/>
    <cellStyle name="AggOrange 2 3 4" xfId="526"/>
    <cellStyle name="AggOrange 2 3 4 2" xfId="741"/>
    <cellStyle name="AggOrange 2 3 4 2 2" xfId="1182"/>
    <cellStyle name="AggOrange 2 3 4 3" xfId="976"/>
    <cellStyle name="AggOrange 2 3 5" xfId="931"/>
    <cellStyle name="AggOrange 3" xfId="406"/>
    <cellStyle name="AggOrange 3 2" xfId="646"/>
    <cellStyle name="AggOrange 3 2 2" xfId="861"/>
    <cellStyle name="AggOrange 3 2 2 2" xfId="1302"/>
    <cellStyle name="AggOrange 3 2 3" xfId="1096"/>
    <cellStyle name="AggOrange 3 3" xfId="713"/>
    <cellStyle name="AggOrange 3 3 2" xfId="1154"/>
    <cellStyle name="AggOrange 4" xfId="264"/>
    <cellStyle name="AggOrange 4 2" xfId="603"/>
    <cellStyle name="AggOrange 4 2 2" xfId="818"/>
    <cellStyle name="AggOrange 4 2 2 2" xfId="1259"/>
    <cellStyle name="AggOrange 4 2 3" xfId="1053"/>
    <cellStyle name="AggOrange 4 3" xfId="592"/>
    <cellStyle name="AggOrange 4 3 2" xfId="807"/>
    <cellStyle name="AggOrange 4 3 2 2" xfId="1248"/>
    <cellStyle name="AggOrange 4 3 3" xfId="1042"/>
    <cellStyle name="AggOrange 4 4" xfId="566"/>
    <cellStyle name="AggOrange 4 4 2" xfId="781"/>
    <cellStyle name="AggOrange 4 4 2 2" xfId="1222"/>
    <cellStyle name="AggOrange 4 4 3" xfId="1016"/>
    <cellStyle name="AggOrange 4 5" xfId="930"/>
    <cellStyle name="AggOrange 5" xfId="70"/>
    <cellStyle name="AggOrange_B_border" xfId="28"/>
    <cellStyle name="AggOrange_LRTBorder_Bold" xfId="1334"/>
    <cellStyle name="AggOrange9" xfId="15"/>
    <cellStyle name="AggOrange9 2" xfId="117"/>
    <cellStyle name="AggOrange9 2 2" xfId="409"/>
    <cellStyle name="AggOrange9 2 2 2" xfId="645"/>
    <cellStyle name="AggOrange9 2 2 2 2" xfId="860"/>
    <cellStyle name="AggOrange9 2 2 2 2 2" xfId="1301"/>
    <cellStyle name="AggOrange9 2 2 2 3" xfId="1095"/>
    <cellStyle name="AggOrange9 2 2 3" xfId="716"/>
    <cellStyle name="AggOrange9 2 2 3 2" xfId="1157"/>
    <cellStyle name="AggOrange9 2 3" xfId="267"/>
    <cellStyle name="AggOrange9 2 3 2" xfId="606"/>
    <cellStyle name="AggOrange9 2 3 2 2" xfId="821"/>
    <cellStyle name="AggOrange9 2 3 2 2 2" xfId="1262"/>
    <cellStyle name="AggOrange9 2 3 2 3" xfId="1056"/>
    <cellStyle name="AggOrange9 2 3 3" xfId="652"/>
    <cellStyle name="AggOrange9 2 3 3 2" xfId="867"/>
    <cellStyle name="AggOrange9 2 3 3 2 2" xfId="1308"/>
    <cellStyle name="AggOrange9 2 3 3 3" xfId="1102"/>
    <cellStyle name="AggOrange9 2 3 4" xfId="666"/>
    <cellStyle name="AggOrange9 2 3 4 2" xfId="881"/>
    <cellStyle name="AggOrange9 2 3 4 2 2" xfId="1322"/>
    <cellStyle name="AggOrange9 2 3 4 3" xfId="1116"/>
    <cellStyle name="AggOrange9 2 3 5" xfId="933"/>
    <cellStyle name="AggOrange9 3" xfId="408"/>
    <cellStyle name="AggOrange9 3 2" xfId="597"/>
    <cellStyle name="AggOrange9 3 2 2" xfId="812"/>
    <cellStyle name="AggOrange9 3 2 2 2" xfId="1253"/>
    <cellStyle name="AggOrange9 3 2 3" xfId="1047"/>
    <cellStyle name="AggOrange9 3 3" xfId="715"/>
    <cellStyle name="AggOrange9 3 3 2" xfId="1156"/>
    <cellStyle name="AggOrange9 4" xfId="266"/>
    <cellStyle name="AggOrange9 4 2" xfId="605"/>
    <cellStyle name="AggOrange9 4 2 2" xfId="820"/>
    <cellStyle name="AggOrange9 4 2 2 2" xfId="1261"/>
    <cellStyle name="AggOrange9 4 2 3" xfId="1055"/>
    <cellStyle name="AggOrange9 4 3" xfId="550"/>
    <cellStyle name="AggOrange9 4 3 2" xfId="765"/>
    <cellStyle name="AggOrange9 4 3 2 2" xfId="1206"/>
    <cellStyle name="AggOrange9 4 3 3" xfId="1000"/>
    <cellStyle name="AggOrange9 4 4" xfId="596"/>
    <cellStyle name="AggOrange9 4 4 2" xfId="811"/>
    <cellStyle name="AggOrange9 4 4 2 2" xfId="1252"/>
    <cellStyle name="AggOrange9 4 4 3" xfId="1046"/>
    <cellStyle name="AggOrange9 4 5" xfId="932"/>
    <cellStyle name="AggOrange9 5" xfId="69"/>
    <cellStyle name="AggOrangeLB_2x" xfId="27"/>
    <cellStyle name="AggOrangeLBorder" xfId="29"/>
    <cellStyle name="AggOrangeLBorder 2" xfId="118"/>
    <cellStyle name="AggOrangeLBorder 2 2" xfId="411"/>
    <cellStyle name="AggOrangeLBorder 2 3" xfId="269"/>
    <cellStyle name="AggOrangeLBorder 2 3 2" xfId="608"/>
    <cellStyle name="AggOrangeLBorder 2 3 2 2" xfId="823"/>
    <cellStyle name="AggOrangeLBorder 2 3 2 2 2" xfId="1264"/>
    <cellStyle name="AggOrangeLBorder 2 3 2 3" xfId="1058"/>
    <cellStyle name="AggOrangeLBorder 2 3 3" xfId="548"/>
    <cellStyle name="AggOrangeLBorder 2 3 3 2" xfId="763"/>
    <cellStyle name="AggOrangeLBorder 2 3 3 2 2" xfId="1204"/>
    <cellStyle name="AggOrangeLBorder 2 3 3 3" xfId="998"/>
    <cellStyle name="AggOrangeLBorder 2 3 4" xfId="574"/>
    <cellStyle name="AggOrangeLBorder 2 3 4 2" xfId="789"/>
    <cellStyle name="AggOrangeLBorder 2 3 4 2 2" xfId="1230"/>
    <cellStyle name="AggOrangeLBorder 2 3 4 3" xfId="1024"/>
    <cellStyle name="AggOrangeLBorder 2 3 5" xfId="694"/>
    <cellStyle name="AggOrangeLBorder 2 3 6" xfId="935"/>
    <cellStyle name="AggOrangeLBorder 3" xfId="410"/>
    <cellStyle name="AggOrangeLBorder 4" xfId="268"/>
    <cellStyle name="AggOrangeLBorder 4 2" xfId="607"/>
    <cellStyle name="AggOrangeLBorder 4 2 2" xfId="822"/>
    <cellStyle name="AggOrangeLBorder 4 2 2 2" xfId="1263"/>
    <cellStyle name="AggOrangeLBorder 4 2 3" xfId="1057"/>
    <cellStyle name="AggOrangeLBorder 4 3" xfId="549"/>
    <cellStyle name="AggOrangeLBorder 4 3 2" xfId="764"/>
    <cellStyle name="AggOrangeLBorder 4 3 2 2" xfId="1205"/>
    <cellStyle name="AggOrangeLBorder 4 3 3" xfId="999"/>
    <cellStyle name="AggOrangeLBorder 4 4" xfId="570"/>
    <cellStyle name="AggOrangeLBorder 4 4 2" xfId="785"/>
    <cellStyle name="AggOrangeLBorder 4 4 2 2" xfId="1226"/>
    <cellStyle name="AggOrangeLBorder 4 4 3" xfId="1020"/>
    <cellStyle name="AggOrangeLBorder 4 5" xfId="693"/>
    <cellStyle name="AggOrangeLBorder 4 6" xfId="934"/>
    <cellStyle name="AggOrangeLBorder 5" xfId="77"/>
    <cellStyle name="AggOrangeRBorder" xfId="18"/>
    <cellStyle name="AggOrangeRBorder 2" xfId="119"/>
    <cellStyle name="AggOrangeRBorder 2 2" xfId="413"/>
    <cellStyle name="AggOrangeRBorder 2 2 2" xfId="525"/>
    <cellStyle name="AggOrangeRBorder 2 2 2 2" xfId="740"/>
    <cellStyle name="AggOrangeRBorder 2 2 2 2 2" xfId="1181"/>
    <cellStyle name="AggOrangeRBorder 2 2 2 3" xfId="975"/>
    <cellStyle name="AggOrangeRBorder 2 3" xfId="271"/>
    <cellStyle name="AggOrangeRBorder 2 3 2" xfId="610"/>
    <cellStyle name="AggOrangeRBorder 2 3 2 2" xfId="825"/>
    <cellStyle name="AggOrangeRBorder 2 3 2 2 2" xfId="1266"/>
    <cellStyle name="AggOrangeRBorder 2 3 2 3" xfId="1060"/>
    <cellStyle name="AggOrangeRBorder 2 3 3" xfId="586"/>
    <cellStyle name="AggOrangeRBorder 2 3 3 2" xfId="801"/>
    <cellStyle name="AggOrangeRBorder 2 3 3 2 2" xfId="1242"/>
    <cellStyle name="AggOrangeRBorder 2 3 3 3" xfId="1036"/>
    <cellStyle name="AggOrangeRBorder 2 3 4" xfId="568"/>
    <cellStyle name="AggOrangeRBorder 2 3 4 2" xfId="783"/>
    <cellStyle name="AggOrangeRBorder 2 3 4 2 2" xfId="1224"/>
    <cellStyle name="AggOrangeRBorder 2 3 4 3" xfId="1018"/>
    <cellStyle name="AggOrangeRBorder 2 3 5" xfId="696"/>
    <cellStyle name="AggOrangeRBorder 2 3 6" xfId="937"/>
    <cellStyle name="AggOrangeRBorder 3" xfId="412"/>
    <cellStyle name="AggOrangeRBorder 3 2" xfId="44"/>
    <cellStyle name="AggOrangeRBorder 3 2 2" xfId="644"/>
    <cellStyle name="AggOrangeRBorder 3 2 2 2" xfId="1094"/>
    <cellStyle name="AggOrangeRBorder 3 2 3" xfId="859"/>
    <cellStyle name="AggOrangeRBorder 3 2 3 2" xfId="1300"/>
    <cellStyle name="AggOrangeRBorder 4" xfId="270"/>
    <cellStyle name="AggOrangeRBorder 4 2" xfId="609"/>
    <cellStyle name="AggOrangeRBorder 4 2 2" xfId="824"/>
    <cellStyle name="AggOrangeRBorder 4 2 2 2" xfId="1265"/>
    <cellStyle name="AggOrangeRBorder 4 2 3" xfId="1059"/>
    <cellStyle name="AggOrangeRBorder 4 3" xfId="642"/>
    <cellStyle name="AggOrangeRBorder 4 3 2" xfId="857"/>
    <cellStyle name="AggOrangeRBorder 4 3 2 2" xfId="1298"/>
    <cellStyle name="AggOrangeRBorder 4 3 3" xfId="1092"/>
    <cellStyle name="AggOrangeRBorder 4 4" xfId="663"/>
    <cellStyle name="AggOrangeRBorder 4 4 2" xfId="878"/>
    <cellStyle name="AggOrangeRBorder 4 4 2 2" xfId="1319"/>
    <cellStyle name="AggOrangeRBorder 4 4 3" xfId="1113"/>
    <cellStyle name="AggOrangeRBorder 4 5" xfId="695"/>
    <cellStyle name="AggOrangeRBorder 4 6" xfId="936"/>
    <cellStyle name="AggOrangeRBorder 5" xfId="72"/>
    <cellStyle name="AggOrangeRBorder_CRFReport-template" xfId="30"/>
    <cellStyle name="Akzent1" xfId="120"/>
    <cellStyle name="Akzent2" xfId="121"/>
    <cellStyle name="Akzent3" xfId="122"/>
    <cellStyle name="Akzent4" xfId="123"/>
    <cellStyle name="Akzent5" xfId="124"/>
    <cellStyle name="Akzent6" xfId="125"/>
    <cellStyle name="Ausgabe" xfId="45" hidden="1"/>
    <cellStyle name="Ausgabe" xfId="892" hidden="1"/>
    <cellStyle name="Ausgabe 2" xfId="391"/>
    <cellStyle name="Ausgabe 2 2" xfId="647"/>
    <cellStyle name="Ausgabe 2 2 2" xfId="862"/>
    <cellStyle name="Ausgabe 2 2 2 2" xfId="1303"/>
    <cellStyle name="Ausgabe 2 2 3" xfId="1097"/>
    <cellStyle name="Ausgabe 2 3" xfId="532"/>
    <cellStyle name="Ausgabe 2 3 2" xfId="747"/>
    <cellStyle name="Ausgabe 2 3 2 2" xfId="1188"/>
    <cellStyle name="Ausgabe 2 3 3" xfId="982"/>
    <cellStyle name="Ausgabe 2 4" xfId="705"/>
    <cellStyle name="Ausgabe 2 4 2" xfId="1146"/>
    <cellStyle name="Ausgabe 2 5" xfId="955"/>
    <cellStyle name="Ausgabe 3" xfId="282"/>
    <cellStyle name="Ausgabe 3 2" xfId="619"/>
    <cellStyle name="Ausgabe 3 2 2" xfId="834"/>
    <cellStyle name="Ausgabe 3 2 2 2" xfId="1275"/>
    <cellStyle name="Ausgabe 3 2 3" xfId="1069"/>
    <cellStyle name="Ausgabe 3 3" xfId="538"/>
    <cellStyle name="Ausgabe 3 3 2" xfId="753"/>
    <cellStyle name="Ausgabe 3 3 2 2" xfId="1194"/>
    <cellStyle name="Ausgabe 3 3 3" xfId="988"/>
    <cellStyle name="Ausgabe 3 4" xfId="702"/>
    <cellStyle name="Ausgabe 3 4 2" xfId="1144"/>
    <cellStyle name="Ausgabe 3 5" xfId="946"/>
    <cellStyle name="Ausgabe 4" xfId="543"/>
    <cellStyle name="Ausgabe 4 2" xfId="758"/>
    <cellStyle name="Ausgabe 4 2 2" xfId="1199"/>
    <cellStyle name="Ausgabe 4 3" xfId="993"/>
    <cellStyle name="Ausgabe 5" xfId="662"/>
    <cellStyle name="Ausgabe 5 2" xfId="877"/>
    <cellStyle name="Ausgabe 5 2 2" xfId="1318"/>
    <cellStyle name="Ausgabe 5 3" xfId="1112"/>
    <cellStyle name="Ausgabe 6" xfId="678"/>
    <cellStyle name="Ausgabe 6 2" xfId="1127"/>
    <cellStyle name="Bad 2" xfId="126"/>
    <cellStyle name="Bad 3" xfId="223"/>
    <cellStyle name="Bad 4" xfId="363"/>
    <cellStyle name="Berechnung" xfId="46" hidden="1"/>
    <cellStyle name="Berechnung" xfId="893" hidden="1"/>
    <cellStyle name="Berechnung 2" xfId="392"/>
    <cellStyle name="Berechnung 2 2" xfId="648"/>
    <cellStyle name="Berechnung 2 2 2" xfId="863"/>
    <cellStyle name="Berechnung 2 2 2 2" xfId="1304"/>
    <cellStyle name="Berechnung 2 2 3" xfId="1098"/>
    <cellStyle name="Berechnung 2 3" xfId="513"/>
    <cellStyle name="Berechnung 2 3 2" xfId="728"/>
    <cellStyle name="Berechnung 2 3 2 2" xfId="1169"/>
    <cellStyle name="Berechnung 2 3 3" xfId="963"/>
    <cellStyle name="Berechnung 2 4" xfId="569"/>
    <cellStyle name="Berechnung 2 4 2" xfId="784"/>
    <cellStyle name="Berechnung 2 4 2 2" xfId="1225"/>
    <cellStyle name="Berechnung 2 4 3" xfId="1019"/>
    <cellStyle name="Berechnung 2 5" xfId="706"/>
    <cellStyle name="Berechnung 2 5 2" xfId="1147"/>
    <cellStyle name="Berechnung 2 6" xfId="956"/>
    <cellStyle name="Berechnung 3" xfId="272"/>
    <cellStyle name="Berechnung 3 2" xfId="611"/>
    <cellStyle name="Berechnung 3 2 2" xfId="826"/>
    <cellStyle name="Berechnung 3 2 2 2" xfId="1267"/>
    <cellStyle name="Berechnung 3 2 3" xfId="1061"/>
    <cellStyle name="Berechnung 3 3" xfId="547"/>
    <cellStyle name="Berechnung 3 3 2" xfId="762"/>
    <cellStyle name="Berechnung 3 3 2 2" xfId="1203"/>
    <cellStyle name="Berechnung 3 3 3" xfId="997"/>
    <cellStyle name="Berechnung 3 4" xfId="559"/>
    <cellStyle name="Berechnung 3 4 2" xfId="774"/>
    <cellStyle name="Berechnung 3 4 2 2" xfId="1215"/>
    <cellStyle name="Berechnung 3 4 3" xfId="1009"/>
    <cellStyle name="Berechnung 3 5" xfId="697"/>
    <cellStyle name="Berechnung 3 5 2" xfId="1142"/>
    <cellStyle name="Berechnung 3 6" xfId="938"/>
    <cellStyle name="Berechnung 4" xfId="544"/>
    <cellStyle name="Berechnung 4 2" xfId="759"/>
    <cellStyle name="Berechnung 4 2 2" xfId="1200"/>
    <cellStyle name="Berechnung 4 3" xfId="994"/>
    <cellStyle name="Berechnung 5" xfId="661"/>
    <cellStyle name="Berechnung 5 2" xfId="876"/>
    <cellStyle name="Berechnung 5 2 2" xfId="1317"/>
    <cellStyle name="Berechnung 5 3" xfId="1111"/>
    <cellStyle name="Berechnung 6" xfId="673"/>
    <cellStyle name="Berechnung 6 2" xfId="887"/>
    <cellStyle name="Berechnung 6 2 2" xfId="1328"/>
    <cellStyle name="Berechnung 6 3" xfId="1122"/>
    <cellStyle name="Berechnung 7" xfId="679"/>
    <cellStyle name="Berechnung 7 2" xfId="1128"/>
    <cellStyle name="Bold GHG Numbers (0.00)" xfId="127"/>
    <cellStyle name="Calculation 2" xfId="128"/>
    <cellStyle name="Calculation 2 2" xfId="546"/>
    <cellStyle name="Calculation 2 2 2" xfId="761"/>
    <cellStyle name="Calculation 2 2 2 2" xfId="1202"/>
    <cellStyle name="Calculation 2 2 3" xfId="996"/>
    <cellStyle name="Calculation 2 3" xfId="630"/>
    <cellStyle name="Calculation 2 3 2" xfId="845"/>
    <cellStyle name="Calculation 2 3 2 2" xfId="1286"/>
    <cellStyle name="Calculation 2 3 3" xfId="1080"/>
    <cellStyle name="Calculation 2 4" xfId="536"/>
    <cellStyle name="Calculation 2 4 2" xfId="751"/>
    <cellStyle name="Calculation 2 4 2 2" xfId="1192"/>
    <cellStyle name="Calculation 2 4 3" xfId="986"/>
    <cellStyle name="Calculation 2 5" xfId="680"/>
    <cellStyle name="Calculation 2 5 2" xfId="1129"/>
    <cellStyle name="Calculation 2 6" xfId="915"/>
    <cellStyle name="Calculation 3" xfId="224"/>
    <cellStyle name="Calculation 3 2" xfId="585"/>
    <cellStyle name="Calculation 3 2 2" xfId="800"/>
    <cellStyle name="Calculation 3 2 2 2" xfId="1241"/>
    <cellStyle name="Calculation 3 2 3" xfId="1035"/>
    <cellStyle name="Calculation 3 3" xfId="571"/>
    <cellStyle name="Calculation 3 3 2" xfId="786"/>
    <cellStyle name="Calculation 3 3 2 2" xfId="1227"/>
    <cellStyle name="Calculation 3 3 3" xfId="1021"/>
    <cellStyle name="Calculation 3 4" xfId="655"/>
    <cellStyle name="Calculation 3 4 2" xfId="870"/>
    <cellStyle name="Calculation 3 4 2 2" xfId="1311"/>
    <cellStyle name="Calculation 3 4 3" xfId="1105"/>
    <cellStyle name="Calculation 3 5" xfId="688"/>
    <cellStyle name="Calculation 3 5 2" xfId="1137"/>
    <cellStyle name="Calculation 3 6" xfId="921"/>
    <cellStyle name="Check Cell 2" xfId="129"/>
    <cellStyle name="Check Cell 3" xfId="225"/>
    <cellStyle name="Check Cell 4" xfId="369"/>
    <cellStyle name="Comma 2" xfId="130"/>
    <cellStyle name="Comma 2 2" xfId="131"/>
    <cellStyle name="Comma 2 2 2" xfId="414"/>
    <cellStyle name="Comma 3" xfId="132"/>
    <cellStyle name="Constants" xfId="3"/>
    <cellStyle name="ContentsHyperlink" xfId="241"/>
    <cellStyle name="CustomCellsOrange" xfId="133"/>
    <cellStyle name="CustomCellsOrange 2" xfId="415"/>
    <cellStyle name="CustomCellsOrange 2 2" xfId="438"/>
    <cellStyle name="CustomCellsOrange 2 2 2" xfId="508"/>
    <cellStyle name="CustomCellsOrange 2 2 2 2" xfId="674"/>
    <cellStyle name="CustomCellsOrange 2 2 2 2 2" xfId="888"/>
    <cellStyle name="CustomCellsOrange 2 2 2 2 2 2" xfId="1329"/>
    <cellStyle name="CustomCellsOrange 2 2 2 2 3" xfId="1123"/>
    <cellStyle name="CustomCellsOrange 2 2 3" xfId="657"/>
    <cellStyle name="CustomCellsOrange 2 2 3 2" xfId="872"/>
    <cellStyle name="CustomCellsOrange 2 2 3 2 2" xfId="1313"/>
    <cellStyle name="CustomCellsOrange 2 2 3 3" xfId="1107"/>
    <cellStyle name="CustomCellsOrange 2 2 4" xfId="575"/>
    <cellStyle name="CustomCellsOrange 2 2 4 2" xfId="790"/>
    <cellStyle name="CustomCellsOrange 2 2 4 2 2" xfId="1231"/>
    <cellStyle name="CustomCellsOrange 2 2 4 3" xfId="1025"/>
    <cellStyle name="CustomCellsOrange 2 2 5" xfId="676"/>
    <cellStyle name="CustomCellsOrange 2 2 5 2" xfId="890"/>
    <cellStyle name="CustomCellsOrange 2 2 5 2 2" xfId="1331"/>
    <cellStyle name="CustomCellsOrange 2 2 5 3" xfId="1125"/>
    <cellStyle name="CustomCellsOrange 2 2 6" xfId="959"/>
    <cellStyle name="CustomCellsOrange 3" xfId="273"/>
    <cellStyle name="CustomCellsOrange 3 2" xfId="612"/>
    <cellStyle name="CustomCellsOrange 3 2 2" xfId="827"/>
    <cellStyle name="CustomCellsOrange 3 2 2 2" xfId="1268"/>
    <cellStyle name="CustomCellsOrange 3 2 3" xfId="1062"/>
    <cellStyle name="CustomCellsOrange 3 3" xfId="545"/>
    <cellStyle name="CustomCellsOrange 3 3 2" xfId="760"/>
    <cellStyle name="CustomCellsOrange 3 3 2 2" xfId="1201"/>
    <cellStyle name="CustomCellsOrange 3 3 3" xfId="995"/>
    <cellStyle name="CustomCellsOrange 3 4" xfId="558"/>
    <cellStyle name="CustomCellsOrange 3 4 2" xfId="773"/>
    <cellStyle name="CustomCellsOrange 3 4 2 2" xfId="1214"/>
    <cellStyle name="CustomCellsOrange 3 4 3" xfId="1008"/>
    <cellStyle name="CustomCellsOrange 3 5" xfId="698"/>
    <cellStyle name="CustomCellsOrange 3 6" xfId="939"/>
    <cellStyle name="CustomizationCells" xfId="17"/>
    <cellStyle name="CustomizationCells 2" xfId="416"/>
    <cellStyle name="CustomizationCells 2 2" xfId="439"/>
    <cellStyle name="CustomizationCells 2 2 2" xfId="509"/>
    <cellStyle name="CustomizationCells 2 2 2 2" xfId="675"/>
    <cellStyle name="CustomizationCells 2 2 2 2 2" xfId="889"/>
    <cellStyle name="CustomizationCells 2 2 2 2 2 2" xfId="1330"/>
    <cellStyle name="CustomizationCells 2 2 2 2 3" xfId="1124"/>
    <cellStyle name="CustomizationCells 2 2 3" xfId="658"/>
    <cellStyle name="CustomizationCells 2 2 3 2" xfId="873"/>
    <cellStyle name="CustomizationCells 2 2 3 2 2" xfId="1314"/>
    <cellStyle name="CustomizationCells 2 2 3 3" xfId="1108"/>
    <cellStyle name="CustomizationCells 2 2 4" xfId="521"/>
    <cellStyle name="CustomizationCells 2 2 4 2" xfId="736"/>
    <cellStyle name="CustomizationCells 2 2 4 2 2" xfId="1177"/>
    <cellStyle name="CustomizationCells 2 2 4 3" xfId="971"/>
    <cellStyle name="CustomizationCells 2 2 5" xfId="677"/>
    <cellStyle name="CustomizationCells 2 2 5 2" xfId="891"/>
    <cellStyle name="CustomizationCells 2 2 5 3" xfId="1126"/>
    <cellStyle name="CustomizationCells 2 2 6" xfId="960"/>
    <cellStyle name="CustomizationCells 3" xfId="274"/>
    <cellStyle name="CustomizationCells 3 2" xfId="613"/>
    <cellStyle name="CustomizationCells 3 2 2" xfId="828"/>
    <cellStyle name="CustomizationCells 3 2 2 2" xfId="1269"/>
    <cellStyle name="CustomizationCells 3 2 3" xfId="1063"/>
    <cellStyle name="CustomizationCells 3 3" xfId="640"/>
    <cellStyle name="CustomizationCells 3 3 2" xfId="855"/>
    <cellStyle name="CustomizationCells 3 3 2 2" xfId="1296"/>
    <cellStyle name="CustomizationCells 3 3 3" xfId="1090"/>
    <cellStyle name="CustomizationCells 3 4" xfId="560"/>
    <cellStyle name="CustomizationCells 3 4 2" xfId="775"/>
    <cellStyle name="CustomizationCells 3 4 2 2" xfId="1216"/>
    <cellStyle name="CustomizationCells 3 4 3" xfId="1010"/>
    <cellStyle name="CustomizationCells 3 5" xfId="699"/>
    <cellStyle name="CustomizationCells 3 6" xfId="940"/>
    <cellStyle name="CustomizationCells 4" xfId="71"/>
    <cellStyle name="CustomizationGreenCells" xfId="134"/>
    <cellStyle name="CustomizationGreenCells 2" xfId="417"/>
    <cellStyle name="CustomizationGreenCells 3" xfId="275"/>
    <cellStyle name="CustomizationGreenCells 3 2" xfId="614"/>
    <cellStyle name="CustomizationGreenCells 3 2 2" xfId="829"/>
    <cellStyle name="CustomizationGreenCells 3 2 2 2" xfId="1270"/>
    <cellStyle name="CustomizationGreenCells 3 2 3" xfId="1064"/>
    <cellStyle name="CustomizationGreenCells 3 3" xfId="584"/>
    <cellStyle name="CustomizationGreenCells 3 3 2" xfId="799"/>
    <cellStyle name="CustomizationGreenCells 3 3 2 2" xfId="1240"/>
    <cellStyle name="CustomizationGreenCells 3 3 3" xfId="1034"/>
    <cellStyle name="CustomizationGreenCells 3 4" xfId="517"/>
    <cellStyle name="CustomizationGreenCells 3 4 2" xfId="732"/>
    <cellStyle name="CustomizationGreenCells 3 4 2 2" xfId="1173"/>
    <cellStyle name="CustomizationGreenCells 3 4 3" xfId="967"/>
    <cellStyle name="CustomizationGreenCells 3 5" xfId="700"/>
    <cellStyle name="CustomizationGreenCells 3 6" xfId="941"/>
    <cellStyle name="DocBox_EmptyRow" xfId="14"/>
    <cellStyle name="Eingabe" xfId="1"/>
    <cellStyle name="Eingabe 2" xfId="372"/>
    <cellStyle name="Eingabe 3" xfId="418"/>
    <cellStyle name="Eingabe 3 2" xfId="654"/>
    <cellStyle name="Eingabe 3 2 2" xfId="869"/>
    <cellStyle name="Eingabe 3 2 2 2" xfId="1310"/>
    <cellStyle name="Eingabe 3 2 3" xfId="1104"/>
    <cellStyle name="Eingabe 3 3" xfId="643"/>
    <cellStyle name="Eingabe 3 3 2" xfId="858"/>
    <cellStyle name="Eingabe 3 3 2 2" xfId="1299"/>
    <cellStyle name="Eingabe 3 3 3" xfId="1093"/>
    <cellStyle name="Eingabe 3 4" xfId="534"/>
    <cellStyle name="Eingabe 3 4 2" xfId="749"/>
    <cellStyle name="Eingabe 3 4 2 2" xfId="1190"/>
    <cellStyle name="Eingabe 3 4 3" xfId="984"/>
    <cellStyle name="Eingabe 3 5" xfId="717"/>
    <cellStyle name="Eingabe 3 5 2" xfId="1158"/>
    <cellStyle name="Eingabe 3 6" xfId="958"/>
    <cellStyle name="Eingabe 4" xfId="277"/>
    <cellStyle name="Eingabe 4 2" xfId="615"/>
    <cellStyle name="Eingabe 4 2 2" xfId="830"/>
    <cellStyle name="Eingabe 4 2 2 2" xfId="1271"/>
    <cellStyle name="Eingabe 4 2 3" xfId="1065"/>
    <cellStyle name="Eingabe 4 3" xfId="542"/>
    <cellStyle name="Eingabe 4 3 2" xfId="757"/>
    <cellStyle name="Eingabe 4 3 2 2" xfId="1198"/>
    <cellStyle name="Eingabe 4 3 3" xfId="992"/>
    <cellStyle name="Eingabe 4 4" xfId="518"/>
    <cellStyle name="Eingabe 4 4 2" xfId="733"/>
    <cellStyle name="Eingabe 4 4 2 2" xfId="1174"/>
    <cellStyle name="Eingabe 4 4 3" xfId="968"/>
    <cellStyle name="Eingabe 4 5" xfId="701"/>
    <cellStyle name="Eingabe 4 5 2" xfId="1143"/>
    <cellStyle name="Eingabe 4 6" xfId="942"/>
    <cellStyle name="Eingabe 5" xfId="552"/>
    <cellStyle name="Eingabe 5 2" xfId="767"/>
    <cellStyle name="Eingabe 5 2 2" xfId="1208"/>
    <cellStyle name="Eingabe 5 3" xfId="1002"/>
    <cellStyle name="Eingabe 6" xfId="629"/>
    <cellStyle name="Eingabe 6 2" xfId="844"/>
    <cellStyle name="Eingabe 6 2 2" xfId="1285"/>
    <cellStyle name="Eingabe 6 3" xfId="1079"/>
    <cellStyle name="Eingabe 7" xfId="672"/>
    <cellStyle name="Eingabe 7 2" xfId="886"/>
    <cellStyle name="Eingabe 7 2 2" xfId="1327"/>
    <cellStyle name="Eingabe 7 3" xfId="1121"/>
    <cellStyle name="Eingabe 8" xfId="681"/>
    <cellStyle name="Eingabe 8 2" xfId="1130"/>
    <cellStyle name="Empty_B_border" xfId="20"/>
    <cellStyle name="Ergebnis" xfId="49" hidden="1"/>
    <cellStyle name="Ergebnis" xfId="896" hidden="1"/>
    <cellStyle name="Ergebnis 2" xfId="393"/>
    <cellStyle name="Ergebnis 2 2" xfId="649"/>
    <cellStyle name="Ergebnis 2 2 2" xfId="864"/>
    <cellStyle name="Ergebnis 2 2 2 2" xfId="1305"/>
    <cellStyle name="Ergebnis 2 2 3" xfId="1099"/>
    <cellStyle name="Ergebnis 2 3" xfId="581"/>
    <cellStyle name="Ergebnis 2 3 2" xfId="796"/>
    <cellStyle name="Ergebnis 2 3 2 2" xfId="1237"/>
    <cellStyle name="Ergebnis 2 3 3" xfId="1031"/>
    <cellStyle name="Ergebnis 2 4" xfId="572"/>
    <cellStyle name="Ergebnis 2 4 2" xfId="787"/>
    <cellStyle name="Ergebnis 2 4 2 2" xfId="1228"/>
    <cellStyle name="Ergebnis 2 4 3" xfId="1022"/>
    <cellStyle name="Ergebnis 2 5" xfId="707"/>
    <cellStyle name="Ergebnis 2 5 2" xfId="1148"/>
    <cellStyle name="Ergebnis 2 6" xfId="957"/>
    <cellStyle name="Ergebnis 3" xfId="286"/>
    <cellStyle name="Ergebnis 3 2" xfId="623"/>
    <cellStyle name="Ergebnis 3 2 2" xfId="838"/>
    <cellStyle name="Ergebnis 3 2 2 2" xfId="1279"/>
    <cellStyle name="Ergebnis 3 2 3" xfId="1073"/>
    <cellStyle name="Ergebnis 3 3" xfId="537"/>
    <cellStyle name="Ergebnis 3 3 2" xfId="752"/>
    <cellStyle name="Ergebnis 3 3 2 2" xfId="1193"/>
    <cellStyle name="Ergebnis 3 3 3" xfId="987"/>
    <cellStyle name="Ergebnis 3 4" xfId="564"/>
    <cellStyle name="Ergebnis 3 4 2" xfId="779"/>
    <cellStyle name="Ergebnis 3 4 2 2" xfId="1220"/>
    <cellStyle name="Ergebnis 3 4 3" xfId="1014"/>
    <cellStyle name="Ergebnis 3 5" xfId="703"/>
    <cellStyle name="Ergebnis 3 5 2" xfId="1145"/>
    <cellStyle name="Ergebnis 3 6" xfId="950"/>
    <cellStyle name="Ergebnis 4" xfId="553"/>
    <cellStyle name="Ergebnis 4 2" xfId="768"/>
    <cellStyle name="Ergebnis 4 2 2" xfId="1209"/>
    <cellStyle name="Ergebnis 4 3" xfId="1003"/>
    <cellStyle name="Ergebnis 5" xfId="627"/>
    <cellStyle name="Ergebnis 5 2" xfId="842"/>
    <cellStyle name="Ergebnis 5 2 2" xfId="1283"/>
    <cellStyle name="Ergebnis 5 3" xfId="1077"/>
    <cellStyle name="Ergebnis 6" xfId="634"/>
    <cellStyle name="Ergebnis 6 2" xfId="849"/>
    <cellStyle name="Ergebnis 6 2 2" xfId="1290"/>
    <cellStyle name="Ergebnis 6 3" xfId="1084"/>
    <cellStyle name="Ergebnis 7" xfId="682"/>
    <cellStyle name="Ergebnis 7 2" xfId="1131"/>
    <cellStyle name="Erklärender Text" xfId="48" hidden="1"/>
    <cellStyle name="Erklärender Text" xfId="895" hidden="1"/>
    <cellStyle name="Erklärender Text 2" xfId="394"/>
    <cellStyle name="Erklärender Text 3" xfId="276"/>
    <cellStyle name="Explanatory Text 2" xfId="135"/>
    <cellStyle name="Explanatory Text 3" xfId="226"/>
    <cellStyle name="Good 2" xfId="136"/>
    <cellStyle name="Good 3" xfId="227"/>
    <cellStyle name="Good 4" xfId="356"/>
    <cellStyle name="Gut" xfId="137"/>
    <cellStyle name="Heading 1 2" xfId="138"/>
    <cellStyle name="Heading 1 3" xfId="228"/>
    <cellStyle name="Heading 1 4" xfId="364"/>
    <cellStyle name="Heading 2 2" xfId="139"/>
    <cellStyle name="Heading 2 3" xfId="229"/>
    <cellStyle name="Heading 2 4" xfId="365"/>
    <cellStyle name="Heading 3 2" xfId="140"/>
    <cellStyle name="Heading 3 3" xfId="230"/>
    <cellStyle name="Heading 3 4" xfId="366"/>
    <cellStyle name="Heading 4 2" xfId="141"/>
    <cellStyle name="Heading 4 3" xfId="231"/>
    <cellStyle name="Heading 4 4" xfId="367"/>
    <cellStyle name="Headline" xfId="2"/>
    <cellStyle name="Input 2" xfId="142"/>
    <cellStyle name="Input 2 2" xfId="556"/>
    <cellStyle name="Input 2 2 2" xfId="771"/>
    <cellStyle name="Input 2 2 2 2" xfId="1212"/>
    <cellStyle name="Input 2 2 3" xfId="1006"/>
    <cellStyle name="Input 2 3" xfId="660"/>
    <cellStyle name="Input 2 3 2" xfId="875"/>
    <cellStyle name="Input 2 3 2 2" xfId="1316"/>
    <cellStyle name="Input 2 3 3" xfId="1110"/>
    <cellStyle name="Input 2 4" xfId="671"/>
    <cellStyle name="Input 2 4 2" xfId="885"/>
    <cellStyle name="Input 2 4 2 2" xfId="1326"/>
    <cellStyle name="Input 2 4 3" xfId="1120"/>
    <cellStyle name="Input 2 5" xfId="683"/>
    <cellStyle name="Input 2 5 2" xfId="1132"/>
    <cellStyle name="Input 2 6" xfId="916"/>
    <cellStyle name="Input 3" xfId="232"/>
    <cellStyle name="Input 3 2" xfId="588"/>
    <cellStyle name="Input 3 2 2" xfId="803"/>
    <cellStyle name="Input 3 2 2 2" xfId="1244"/>
    <cellStyle name="Input 3 2 3" xfId="1038"/>
    <cellStyle name="Input 3 3" xfId="587"/>
    <cellStyle name="Input 3 3 2" xfId="802"/>
    <cellStyle name="Input 3 3 2 2" xfId="1243"/>
    <cellStyle name="Input 3 3 3" xfId="1037"/>
    <cellStyle name="Input 3 4" xfId="531"/>
    <cellStyle name="Input 3 4 2" xfId="746"/>
    <cellStyle name="Input 3 4 2 2" xfId="1187"/>
    <cellStyle name="Input 3 4 3" xfId="981"/>
    <cellStyle name="Input 3 5" xfId="689"/>
    <cellStyle name="Input 3 5 2" xfId="1138"/>
    <cellStyle name="Input 3 6" xfId="922"/>
    <cellStyle name="Input 4" xfId="343"/>
    <cellStyle name="InputCells" xfId="10"/>
    <cellStyle name="InputCells 2" xfId="143"/>
    <cellStyle name="InputCells 3" xfId="194"/>
    <cellStyle name="InputCells 4" xfId="346"/>
    <cellStyle name="InputCells_Bborder_1" xfId="144"/>
    <cellStyle name="InputCells12" xfId="19"/>
    <cellStyle name="InputCells12 2" xfId="145"/>
    <cellStyle name="InputCells12 2 2" xfId="420"/>
    <cellStyle name="InputCells12 2 2 2" xfId="594"/>
    <cellStyle name="InputCells12 2 2 2 2" xfId="809"/>
    <cellStyle name="InputCells12 2 2 2 2 2" xfId="1250"/>
    <cellStyle name="InputCells12 2 2 2 3" xfId="1044"/>
    <cellStyle name="InputCells12 2 2 3" xfId="719"/>
    <cellStyle name="InputCells12 2 2 3 2" xfId="1160"/>
    <cellStyle name="InputCells12 2 3" xfId="279"/>
    <cellStyle name="InputCells12 2 3 2" xfId="617"/>
    <cellStyle name="InputCells12 2 3 2 2" xfId="832"/>
    <cellStyle name="InputCells12 2 3 2 2 2" xfId="1273"/>
    <cellStyle name="InputCells12 2 3 2 3" xfId="1067"/>
    <cellStyle name="InputCells12 2 3 3" xfId="540"/>
    <cellStyle name="InputCells12 2 3 3 2" xfId="755"/>
    <cellStyle name="InputCells12 2 3 3 2 2" xfId="1196"/>
    <cellStyle name="InputCells12 2 3 3 3" xfId="990"/>
    <cellStyle name="InputCells12 2 3 4" xfId="656"/>
    <cellStyle name="InputCells12 2 3 4 2" xfId="871"/>
    <cellStyle name="InputCells12 2 3 4 2 2" xfId="1312"/>
    <cellStyle name="InputCells12 2 3 4 3" xfId="1106"/>
    <cellStyle name="InputCells12 2 3 5" xfId="944"/>
    <cellStyle name="InputCells12 3" xfId="419"/>
    <cellStyle name="InputCells12 3 2" xfId="524"/>
    <cellStyle name="InputCells12 3 2 2" xfId="739"/>
    <cellStyle name="InputCells12 3 2 2 2" xfId="1180"/>
    <cellStyle name="InputCells12 3 2 3" xfId="974"/>
    <cellStyle name="InputCells12 3 3" xfId="718"/>
    <cellStyle name="InputCells12 3 3 2" xfId="1159"/>
    <cellStyle name="InputCells12 4" xfId="278"/>
    <cellStyle name="InputCells12 4 2" xfId="616"/>
    <cellStyle name="InputCells12 4 2 2" xfId="831"/>
    <cellStyle name="InputCells12 4 2 2 2" xfId="1272"/>
    <cellStyle name="InputCells12 4 2 3" xfId="1066"/>
    <cellStyle name="InputCells12 4 3" xfId="541"/>
    <cellStyle name="InputCells12 4 3 2" xfId="756"/>
    <cellStyle name="InputCells12 4 3 2 2" xfId="1197"/>
    <cellStyle name="InputCells12 4 3 3" xfId="991"/>
    <cellStyle name="InputCells12 4 4" xfId="515"/>
    <cellStyle name="InputCells12 4 4 2" xfId="730"/>
    <cellStyle name="InputCells12 4 4 2 2" xfId="1171"/>
    <cellStyle name="InputCells12 4 4 3" xfId="965"/>
    <cellStyle name="InputCells12 4 5" xfId="943"/>
    <cellStyle name="InputCells12 5" xfId="73"/>
    <cellStyle name="InputCells12_BBorder" xfId="25"/>
    <cellStyle name="IntCells" xfId="146"/>
    <cellStyle name="KP_thin_border_dark_grey" xfId="35"/>
    <cellStyle name="Linked Cell 2" xfId="147"/>
    <cellStyle name="Linked Cell 3" xfId="233"/>
    <cellStyle name="Linked Cell 4" xfId="368"/>
    <cellStyle name="Neutral 2" xfId="148"/>
    <cellStyle name="Neutral 3" xfId="234"/>
    <cellStyle name="Normaali 2" xfId="149"/>
    <cellStyle name="Normaali 2 2" xfId="150"/>
    <cellStyle name="Normal" xfId="0" builtinId="0"/>
    <cellStyle name="Normal 10" xfId="371"/>
    <cellStyle name="Normal 10 2" xfId="440"/>
    <cellStyle name="Normal 11" xfId="399"/>
    <cellStyle name="Normal 11 2" xfId="441"/>
    <cellStyle name="Normal 12" xfId="510"/>
    <cellStyle name="Normal 12 2" xfId="670"/>
    <cellStyle name="Normal 2" xfId="4"/>
    <cellStyle name="Normal 2 2" xfId="151"/>
    <cellStyle name="Normal 2 2 2" xfId="152"/>
    <cellStyle name="Normal 2 3" xfId="153"/>
    <cellStyle name="Normal 2 3 2" xfId="421"/>
    <cellStyle name="Normal 2 4" xfId="40"/>
    <cellStyle name="Normal 3" xfId="36"/>
    <cellStyle name="Normal 3 2" xfId="154"/>
    <cellStyle name="Normal 3 2 2" xfId="41"/>
    <cellStyle name="Normal 3 3" xfId="195"/>
    <cellStyle name="Normal 3 4" xfId="357"/>
    <cellStyle name="Normal 4" xfId="155"/>
    <cellStyle name="Normal 4 2" xfId="156"/>
    <cellStyle name="Normal 4 2 2" xfId="157"/>
    <cellStyle name="Normal 4 2 3" xfId="422"/>
    <cellStyle name="Normal 4 3" xfId="196"/>
    <cellStyle name="Normal 4 3 2" xfId="423"/>
    <cellStyle name="Normal 5" xfId="158"/>
    <cellStyle name="Normal 5 2" xfId="289"/>
    <cellStyle name="Normal 5 2 2" xfId="296"/>
    <cellStyle name="Normal 5 2 2 2" xfId="302"/>
    <cellStyle name="Normal 5 2 2 2 2" xfId="317"/>
    <cellStyle name="Normal 5 2 2 2 2 2" xfId="446"/>
    <cellStyle name="Normal 5 2 2 2 3" xfId="445"/>
    <cellStyle name="Normal 5 2 2 3" xfId="316"/>
    <cellStyle name="Normal 5 2 2 3 2" xfId="447"/>
    <cellStyle name="Normal 5 2 2 4" xfId="444"/>
    <cellStyle name="Normal 5 2 3" xfId="301"/>
    <cellStyle name="Normal 5 2 3 2" xfId="318"/>
    <cellStyle name="Normal 5 2 3 2 2" xfId="449"/>
    <cellStyle name="Normal 5 2 3 3" xfId="448"/>
    <cellStyle name="Normal 5 2 4" xfId="315"/>
    <cellStyle name="Normal 5 2 4 2" xfId="450"/>
    <cellStyle name="Normal 5 2 5" xfId="424"/>
    <cellStyle name="Normal 5 2 5 2" xfId="451"/>
    <cellStyle name="Normal 5 2 6" xfId="443"/>
    <cellStyle name="Normal 5 3" xfId="293"/>
    <cellStyle name="Normal 5 3 2" xfId="303"/>
    <cellStyle name="Normal 5 3 2 2" xfId="320"/>
    <cellStyle name="Normal 5 3 2 2 2" xfId="454"/>
    <cellStyle name="Normal 5 3 2 3" xfId="453"/>
    <cellStyle name="Normal 5 3 3" xfId="319"/>
    <cellStyle name="Normal 5 3 3 2" xfId="455"/>
    <cellStyle name="Normal 5 3 4" xfId="452"/>
    <cellStyle name="Normal 5 4" xfId="300"/>
    <cellStyle name="Normal 5 4 2" xfId="321"/>
    <cellStyle name="Normal 5 4 2 2" xfId="457"/>
    <cellStyle name="Normal 5 4 3" xfId="456"/>
    <cellStyle name="Normal 5 5" xfId="314"/>
    <cellStyle name="Normal 5 5 2" xfId="458"/>
    <cellStyle name="Normal 5 6" xfId="358"/>
    <cellStyle name="Normal 5 7" xfId="442"/>
    <cellStyle name="Normal 5 8" xfId="280"/>
    <cellStyle name="Normal 6" xfId="159"/>
    <cellStyle name="Normal 6 10" xfId="425"/>
    <cellStyle name="Normal 6 10 2" xfId="460"/>
    <cellStyle name="Normal 6 11" xfId="459"/>
    <cellStyle name="Normal 6 2" xfId="290"/>
    <cellStyle name="Normal 6 2 2" xfId="297"/>
    <cellStyle name="Normal 6 2 2 2" xfId="306"/>
    <cellStyle name="Normal 6 2 2 2 2" xfId="325"/>
    <cellStyle name="Normal 6 2 2 2 2 2" xfId="464"/>
    <cellStyle name="Normal 6 2 2 2 3" xfId="463"/>
    <cellStyle name="Normal 6 2 2 3" xfId="324"/>
    <cellStyle name="Normal 6 2 2 3 2" xfId="465"/>
    <cellStyle name="Normal 6 2 2 4" xfId="462"/>
    <cellStyle name="Normal 6 2 3" xfId="305"/>
    <cellStyle name="Normal 6 2 3 2" xfId="326"/>
    <cellStyle name="Normal 6 2 3 2 2" xfId="467"/>
    <cellStyle name="Normal 6 2 3 3" xfId="466"/>
    <cellStyle name="Normal 6 2 4" xfId="323"/>
    <cellStyle name="Normal 6 2 4 2" xfId="468"/>
    <cellStyle name="Normal 6 2 5" xfId="426"/>
    <cellStyle name="Normal 6 2 5 2" xfId="469"/>
    <cellStyle name="Normal 6 2 6" xfId="461"/>
    <cellStyle name="Normal 6 3" xfId="292"/>
    <cellStyle name="Normal 6 3 2" xfId="299"/>
    <cellStyle name="Normal 6 3 2 2" xfId="308"/>
    <cellStyle name="Normal 6 3 2 2 2" xfId="329"/>
    <cellStyle name="Normal 6 3 2 2 2 2" xfId="473"/>
    <cellStyle name="Normal 6 3 2 2 3" xfId="472"/>
    <cellStyle name="Normal 6 3 2 3" xfId="328"/>
    <cellStyle name="Normal 6 3 2 3 2" xfId="474"/>
    <cellStyle name="Normal 6 3 2 4" xfId="471"/>
    <cellStyle name="Normal 6 3 3" xfId="307"/>
    <cellStyle name="Normal 6 3 3 2" xfId="330"/>
    <cellStyle name="Normal 6 3 3 2 2" xfId="476"/>
    <cellStyle name="Normal 6 3 3 3" xfId="475"/>
    <cellStyle name="Normal 6 3 4" xfId="327"/>
    <cellStyle name="Normal 6 3 4 2" xfId="477"/>
    <cellStyle name="Normal 6 3 5" xfId="470"/>
    <cellStyle name="Normal 6 4" xfId="294"/>
    <cellStyle name="Normal 6 4 2" xfId="309"/>
    <cellStyle name="Normal 6 4 2 2" xfId="332"/>
    <cellStyle name="Normal 6 4 2 2 2" xfId="480"/>
    <cellStyle name="Normal 6 4 2 3" xfId="479"/>
    <cellStyle name="Normal 6 4 3" xfId="331"/>
    <cellStyle name="Normal 6 4 3 2" xfId="481"/>
    <cellStyle name="Normal 6 4 4" xfId="478"/>
    <cellStyle name="Normal 6 5" xfId="304"/>
    <cellStyle name="Normal 6 5 2" xfId="333"/>
    <cellStyle name="Normal 6 5 2 2" xfId="483"/>
    <cellStyle name="Normal 6 5 3" xfId="482"/>
    <cellStyle name="Normal 6 6" xfId="322"/>
    <cellStyle name="Normal 6 6 2" xfId="484"/>
    <cellStyle name="Normal 6 7" xfId="359"/>
    <cellStyle name="Normal 6 7 2" xfId="485"/>
    <cellStyle name="Normal 6 8" xfId="395"/>
    <cellStyle name="Normal 6 8 2" xfId="486"/>
    <cellStyle name="Normal 6 9" xfId="398"/>
    <cellStyle name="Normal 6 9 2" xfId="487"/>
    <cellStyle name="Normal 7" xfId="34"/>
    <cellStyle name="Normal 7 2" xfId="291"/>
    <cellStyle name="Normal 7 2 2" xfId="298"/>
    <cellStyle name="Normal 7 2 2 2" xfId="312"/>
    <cellStyle name="Normal 7 2 2 2 2" xfId="337"/>
    <cellStyle name="Normal 7 2 2 2 2 2" xfId="492"/>
    <cellStyle name="Normal 7 2 2 2 3" xfId="491"/>
    <cellStyle name="Normal 7 2 2 3" xfId="336"/>
    <cellStyle name="Normal 7 2 2 3 2" xfId="493"/>
    <cellStyle name="Normal 7 2 2 4" xfId="490"/>
    <cellStyle name="Normal 7 2 3" xfId="311"/>
    <cellStyle name="Normal 7 2 3 2" xfId="338"/>
    <cellStyle name="Normal 7 2 3 2 2" xfId="495"/>
    <cellStyle name="Normal 7 2 3 3" xfId="494"/>
    <cellStyle name="Normal 7 2 4" xfId="335"/>
    <cellStyle name="Normal 7 2 4 2" xfId="496"/>
    <cellStyle name="Normal 7 2 5" xfId="427"/>
    <cellStyle name="Normal 7 2 5 2" xfId="497"/>
    <cellStyle name="Normal 7 2 6" xfId="489"/>
    <cellStyle name="Normal 7 3" xfId="295"/>
    <cellStyle name="Normal 7 3 2" xfId="313"/>
    <cellStyle name="Normal 7 3 2 2" xfId="340"/>
    <cellStyle name="Normal 7 3 2 2 2" xfId="500"/>
    <cellStyle name="Normal 7 3 2 3" xfId="499"/>
    <cellStyle name="Normal 7 3 3" xfId="339"/>
    <cellStyle name="Normal 7 3 3 2" xfId="501"/>
    <cellStyle name="Normal 7 3 4" xfId="498"/>
    <cellStyle name="Normal 7 4" xfId="310"/>
    <cellStyle name="Normal 7 4 2" xfId="341"/>
    <cellStyle name="Normal 7 4 2 2" xfId="503"/>
    <cellStyle name="Normal 7 4 3" xfId="502"/>
    <cellStyle name="Normal 7 5" xfId="334"/>
    <cellStyle name="Normal 7 5 2" xfId="504"/>
    <cellStyle name="Normal 7 6" xfId="347"/>
    <cellStyle name="Normal 7 7" xfId="488"/>
    <cellStyle name="Normal 7 8" xfId="288"/>
    <cellStyle name="Normal 8" xfId="235"/>
    <cellStyle name="Normal 8 2" xfId="429"/>
    <cellStyle name="Normal 8 3" xfId="428"/>
    <cellStyle name="Normal 9" xfId="342"/>
    <cellStyle name="Normal 9 2" xfId="505"/>
    <cellStyle name="Normal GHG Numbers (0.00)" xfId="160"/>
    <cellStyle name="Normal GHG Numbers (0.00) 2" xfId="161"/>
    <cellStyle name="Normal GHG Numbers (0.00) 3" xfId="37"/>
    <cellStyle name="Normal GHG Numbers (0.00) 3 2" xfId="430"/>
    <cellStyle name="Normal GHG Numbers (0.00) 3 2 2" xfId="579"/>
    <cellStyle name="Normal GHG Numbers (0.00) 3 2 2 2" xfId="794"/>
    <cellStyle name="Normal GHG Numbers (0.00) 3 2 2 2 2" xfId="1235"/>
    <cellStyle name="Normal GHG Numbers (0.00) 3 2 2 3" xfId="1029"/>
    <cellStyle name="Normal GHG Numbers (0.00) 3 2 3" xfId="720"/>
    <cellStyle name="Normal GHG Numbers (0.00) 3 2 3 2" xfId="1161"/>
    <cellStyle name="Normal GHG Numbers (0.00) 3 3" xfId="360"/>
    <cellStyle name="Normal GHG Numbers (0.00) 3 3 2" xfId="638"/>
    <cellStyle name="Normal GHG Numbers (0.00) 3 3 2 2" xfId="853"/>
    <cellStyle name="Normal GHG Numbers (0.00) 3 3 2 2 2" xfId="1294"/>
    <cellStyle name="Normal GHG Numbers (0.00) 3 3 2 3" xfId="1088"/>
    <cellStyle name="Normal GHG Numbers (0.00) 3 3 3" xfId="535"/>
    <cellStyle name="Normal GHG Numbers (0.00) 3 3 3 2" xfId="750"/>
    <cellStyle name="Normal GHG Numbers (0.00) 3 3 3 2 2" xfId="1191"/>
    <cellStyle name="Normal GHG Numbers (0.00) 3 3 3 3" xfId="985"/>
    <cellStyle name="Normal GHG Numbers (0.00) 3 3 4" xfId="668"/>
    <cellStyle name="Normal GHG Numbers (0.00) 3 3 4 2" xfId="883"/>
    <cellStyle name="Normal GHG Numbers (0.00) 3 3 4 2 2" xfId="1324"/>
    <cellStyle name="Normal GHG Numbers (0.00) 3 3 4 3" xfId="1118"/>
    <cellStyle name="Normal GHG Numbers (0.00) 3 3 5" xfId="953"/>
    <cellStyle name="Normal GHG Numbers (0.00) 3 4" xfId="162"/>
    <cellStyle name="Normal GHG Textfiels Bold" xfId="5"/>
    <cellStyle name="Normal GHG Textfiels Bold 2" xfId="163"/>
    <cellStyle name="Normal GHG Textfiels Bold 3" xfId="164"/>
    <cellStyle name="Normal GHG Textfiels Bold 3 2" xfId="431"/>
    <cellStyle name="Normal GHG Textfiels Bold 3 2 2" xfId="523"/>
    <cellStyle name="Normal GHG Textfiels Bold 3 2 2 2" xfId="738"/>
    <cellStyle name="Normal GHG Textfiels Bold 3 2 2 2 2" xfId="1179"/>
    <cellStyle name="Normal GHG Textfiels Bold 3 2 2 3" xfId="973"/>
    <cellStyle name="Normal GHG Textfiels Bold 3 2 3" xfId="721"/>
    <cellStyle name="Normal GHG Textfiels Bold 3 2 3 2" xfId="1162"/>
    <cellStyle name="Normal GHG Textfiels Bold 3 3" xfId="361"/>
    <cellStyle name="Normal GHG Textfiels Bold 3 3 2" xfId="639"/>
    <cellStyle name="Normal GHG Textfiels Bold 3 3 2 2" xfId="854"/>
    <cellStyle name="Normal GHG Textfiels Bold 3 3 2 2 2" xfId="1295"/>
    <cellStyle name="Normal GHG Textfiels Bold 3 3 2 3" xfId="1089"/>
    <cellStyle name="Normal GHG Textfiels Bold 3 3 3" xfId="582"/>
    <cellStyle name="Normal GHG Textfiels Bold 3 3 3 2" xfId="797"/>
    <cellStyle name="Normal GHG Textfiels Bold 3 3 3 2 2" xfId="1238"/>
    <cellStyle name="Normal GHG Textfiels Bold 3 3 3 3" xfId="1032"/>
    <cellStyle name="Normal GHG Textfiels Bold 3 3 4" xfId="557"/>
    <cellStyle name="Normal GHG Textfiels Bold 3 3 4 2" xfId="772"/>
    <cellStyle name="Normal GHG Textfiels Bold 3 3 4 2 2" xfId="1213"/>
    <cellStyle name="Normal GHG Textfiels Bold 3 3 4 3" xfId="1007"/>
    <cellStyle name="Normal GHG Textfiels Bold 3 3 5" xfId="954"/>
    <cellStyle name="Normal GHG whole table" xfId="13"/>
    <cellStyle name="Normal GHG whole table 2" xfId="432"/>
    <cellStyle name="Normal GHG whole table 2 2" xfId="578"/>
    <cellStyle name="Normal GHG whole table 2 2 2" xfId="793"/>
    <cellStyle name="Normal GHG whole table 2 2 2 2" xfId="1234"/>
    <cellStyle name="Normal GHG whole table 2 2 3" xfId="1028"/>
    <cellStyle name="Normal GHG whole table 2 3" xfId="722"/>
    <cellStyle name="Normal GHG whole table 2 3 2" xfId="1163"/>
    <cellStyle name="Normal GHG whole table 3" xfId="281"/>
    <cellStyle name="Normal GHG whole table 3 2" xfId="618"/>
    <cellStyle name="Normal GHG whole table 3 2 2" xfId="833"/>
    <cellStyle name="Normal GHG whole table 3 2 2 2" xfId="1274"/>
    <cellStyle name="Normal GHG whole table 3 2 3" xfId="1068"/>
    <cellStyle name="Normal GHG whole table 3 3" xfId="539"/>
    <cellStyle name="Normal GHG whole table 3 3 2" xfId="754"/>
    <cellStyle name="Normal GHG whole table 3 3 2 2" xfId="1195"/>
    <cellStyle name="Normal GHG whole table 3 3 3" xfId="989"/>
    <cellStyle name="Normal GHG whole table 3 4" xfId="626"/>
    <cellStyle name="Normal GHG whole table 3 4 2" xfId="841"/>
    <cellStyle name="Normal GHG whole table 3 4 2 2" xfId="1282"/>
    <cellStyle name="Normal GHG whole table 3 4 3" xfId="1076"/>
    <cellStyle name="Normal GHG whole table 3 5" xfId="945"/>
    <cellStyle name="Normal GHG whole table 4" xfId="68"/>
    <cellStyle name="Normal GHG-Shade" xfId="11"/>
    <cellStyle name="Normal GHG-Shade 2" xfId="165"/>
    <cellStyle name="Normal GHG-Shade 2 2" xfId="166"/>
    <cellStyle name="Normal GHG-Shade 2 3" xfId="167"/>
    <cellStyle name="Normal GHG-Shade 2 4" xfId="197"/>
    <cellStyle name="Normal GHG-Shade 2 5" xfId="362"/>
    <cellStyle name="Normal GHG-Shade 3" xfId="168"/>
    <cellStyle name="Normal GHG-Shade 3 2" xfId="169"/>
    <cellStyle name="Normal GHG-Shade 4" xfId="170"/>
    <cellStyle name="Normal GHG-Shade 4 2" xfId="433"/>
    <cellStyle name="Normál_Munka1" xfId="26"/>
    <cellStyle name="Note 2" xfId="171"/>
    <cellStyle name="Note 2 2" xfId="561"/>
    <cellStyle name="Note 2 2 2" xfId="776"/>
    <cellStyle name="Note 2 2 2 2" xfId="1217"/>
    <cellStyle name="Note 2 2 3" xfId="1011"/>
    <cellStyle name="Note 2 3" xfId="625"/>
    <cellStyle name="Note 2 3 2" xfId="840"/>
    <cellStyle name="Note 2 3 2 2" xfId="1281"/>
    <cellStyle name="Note 2 3 3" xfId="1075"/>
    <cellStyle name="Note 2 4" xfId="520"/>
    <cellStyle name="Note 2 4 2" xfId="735"/>
    <cellStyle name="Note 2 4 2 2" xfId="1176"/>
    <cellStyle name="Note 2 4 3" xfId="970"/>
    <cellStyle name="Note 2 5" xfId="684"/>
    <cellStyle name="Note 2 5 2" xfId="1133"/>
    <cellStyle name="Note 2 6" xfId="917"/>
    <cellStyle name="Note 3" xfId="236"/>
    <cellStyle name="Note 3 2" xfId="589"/>
    <cellStyle name="Note 3 2 2" xfId="804"/>
    <cellStyle name="Note 3 2 2 2" xfId="1245"/>
    <cellStyle name="Note 3 2 3" xfId="1039"/>
    <cellStyle name="Note 3 3" xfId="555"/>
    <cellStyle name="Note 3 3 2" xfId="770"/>
    <cellStyle name="Note 3 3 2 2" xfId="1211"/>
    <cellStyle name="Note 3 3 3" xfId="1005"/>
    <cellStyle name="Note 3 4" xfId="573"/>
    <cellStyle name="Note 3 4 2" xfId="788"/>
    <cellStyle name="Note 3 4 2 2" xfId="1229"/>
    <cellStyle name="Note 3 4 3" xfId="1023"/>
    <cellStyle name="Note 3 5" xfId="690"/>
    <cellStyle name="Note 3 5 2" xfId="1139"/>
    <cellStyle name="Note 3 6" xfId="923"/>
    <cellStyle name="Notiz" xfId="172"/>
    <cellStyle name="Notiz 2" xfId="562"/>
    <cellStyle name="Notiz 2 2" xfId="777"/>
    <cellStyle name="Notiz 2 2 2" xfId="1218"/>
    <cellStyle name="Notiz 2 3" xfId="1012"/>
    <cellStyle name="Notiz 3" xfId="624"/>
    <cellStyle name="Notiz 3 2" xfId="839"/>
    <cellStyle name="Notiz 3 2 2" xfId="1280"/>
    <cellStyle name="Notiz 3 3" xfId="1074"/>
    <cellStyle name="Notiz 4" xfId="593"/>
    <cellStyle name="Notiz 4 2" xfId="808"/>
    <cellStyle name="Notiz 4 2 2" xfId="1249"/>
    <cellStyle name="Notiz 4 3" xfId="1043"/>
    <cellStyle name="Notiz 5" xfId="685"/>
    <cellStyle name="Notiz 5 2" xfId="1134"/>
    <cellStyle name="Notiz 6" xfId="918"/>
    <cellStyle name="Output 2" xfId="173"/>
    <cellStyle name="Output 2 2" xfId="563"/>
    <cellStyle name="Output 2 2 2" xfId="778"/>
    <cellStyle name="Output 2 2 2 2" xfId="1219"/>
    <cellStyle name="Output 2 2 3" xfId="1013"/>
    <cellStyle name="Output 2 3" xfId="659"/>
    <cellStyle name="Output 2 3 2" xfId="874"/>
    <cellStyle name="Output 2 3 2 2" xfId="1315"/>
    <cellStyle name="Output 2 3 3" xfId="1109"/>
    <cellStyle name="Output 2 4" xfId="686"/>
    <cellStyle name="Output 2 4 2" xfId="1135"/>
    <cellStyle name="Output 2 5" xfId="919"/>
    <cellStyle name="Output 3" xfId="237"/>
    <cellStyle name="Output 3 2" xfId="590"/>
    <cellStyle name="Output 3 2 2" xfId="805"/>
    <cellStyle name="Output 3 2 2 2" xfId="1246"/>
    <cellStyle name="Output 3 2 3" xfId="1040"/>
    <cellStyle name="Output 3 3" xfId="641"/>
    <cellStyle name="Output 3 3 2" xfId="856"/>
    <cellStyle name="Output 3 3 2 2" xfId="1297"/>
    <cellStyle name="Output 3 3 3" xfId="1091"/>
    <cellStyle name="Output 3 4" xfId="691"/>
    <cellStyle name="Output 3 4 2" xfId="1140"/>
    <cellStyle name="Output 3 5" xfId="924"/>
    <cellStyle name="Pattern" xfId="174"/>
    <cellStyle name="Pattern 2" xfId="434"/>
    <cellStyle name="Pattern 2 2" xfId="577"/>
    <cellStyle name="Pattern 2 2 2" xfId="792"/>
    <cellStyle name="Pattern 2 2 2 2" xfId="1233"/>
    <cellStyle name="Pattern 2 2 3" xfId="1027"/>
    <cellStyle name="Pattern 2 3" xfId="723"/>
    <cellStyle name="Pattern 2 3 2" xfId="1164"/>
    <cellStyle name="Pattern 3" xfId="283"/>
    <cellStyle name="Pattern 3 2" xfId="620"/>
    <cellStyle name="Pattern 3 2 2" xfId="835"/>
    <cellStyle name="Pattern 3 2 2 2" xfId="1276"/>
    <cellStyle name="Pattern 3 2 3" xfId="1070"/>
    <cellStyle name="Pattern 3 3" xfId="519"/>
    <cellStyle name="Pattern 3 3 2" xfId="734"/>
    <cellStyle name="Pattern 3 3 2 2" xfId="1175"/>
    <cellStyle name="Pattern 3 3 3" xfId="969"/>
    <cellStyle name="Pattern 3 4" xfId="633"/>
    <cellStyle name="Pattern 3 4 2" xfId="848"/>
    <cellStyle name="Pattern 3 4 2 2" xfId="1289"/>
    <cellStyle name="Pattern 3 4 3" xfId="1083"/>
    <cellStyle name="Pattern 3 5" xfId="947"/>
    <cellStyle name="Percent 2" xfId="175"/>
    <cellStyle name="Percent 2 2" xfId="435"/>
    <cellStyle name="Pourcentage" xfId="1332" builtinId="5"/>
    <cellStyle name="RowLevel_1 2" xfId="78"/>
    <cellStyle name="Schlecht" xfId="176"/>
    <cellStyle name="Shade" xfId="22"/>
    <cellStyle name="Shade 2" xfId="177"/>
    <cellStyle name="Shade 2 2" xfId="437"/>
    <cellStyle name="Shade 2 2 2" xfId="522"/>
    <cellStyle name="Shade 2 2 2 2" xfId="737"/>
    <cellStyle name="Shade 2 2 2 2 2" xfId="1178"/>
    <cellStyle name="Shade 2 2 2 3" xfId="972"/>
    <cellStyle name="Shade 2 2 3" xfId="725"/>
    <cellStyle name="Shade 2 2 3 2" xfId="1166"/>
    <cellStyle name="Shade 2 3" xfId="285"/>
    <cellStyle name="Shade 2 3 2" xfId="622"/>
    <cellStyle name="Shade 2 3 2 2" xfId="837"/>
    <cellStyle name="Shade 2 3 2 2 2" xfId="1278"/>
    <cellStyle name="Shade 2 3 2 3" xfId="1072"/>
    <cellStyle name="Shade 2 3 3" xfId="651"/>
    <cellStyle name="Shade 2 3 3 2" xfId="866"/>
    <cellStyle name="Shade 2 3 3 2 2" xfId="1307"/>
    <cellStyle name="Shade 2 3 3 3" xfId="1101"/>
    <cellStyle name="Shade 2 3 4" xfId="565"/>
    <cellStyle name="Shade 2 3 4 2" xfId="780"/>
    <cellStyle name="Shade 2 3 4 2 2" xfId="1221"/>
    <cellStyle name="Shade 2 3 4 3" xfId="1015"/>
    <cellStyle name="Shade 2 3 5" xfId="949"/>
    <cellStyle name="Shade 3" xfId="436"/>
    <cellStyle name="Shade 3 2" xfId="576"/>
    <cellStyle name="Shade 3 2 2" xfId="791"/>
    <cellStyle name="Shade 3 2 2 2" xfId="1232"/>
    <cellStyle name="Shade 3 2 3" xfId="1026"/>
    <cellStyle name="Shade 3 3" xfId="724"/>
    <cellStyle name="Shade 3 3 2" xfId="1165"/>
    <cellStyle name="Shade 4" xfId="284"/>
    <cellStyle name="Shade 4 2" xfId="43"/>
    <cellStyle name="Shade 4 2 2" xfId="621"/>
    <cellStyle name="Shade 4 2 2 2" xfId="1071"/>
    <cellStyle name="Shade 4 2 3" xfId="836"/>
    <cellStyle name="Shade 4 2 3 2" xfId="1277"/>
    <cellStyle name="Shade 4 3" xfId="650"/>
    <cellStyle name="Shade 4 3 2" xfId="865"/>
    <cellStyle name="Shade 4 3 2 2" xfId="1306"/>
    <cellStyle name="Shade 4 3 3" xfId="1100"/>
    <cellStyle name="Shade 4 4" xfId="512"/>
    <cellStyle name="Shade 4 4 2" xfId="727"/>
    <cellStyle name="Shade 4 4 2 2" xfId="1168"/>
    <cellStyle name="Shade 4 4 3" xfId="962"/>
    <cellStyle name="Shade 4 5" xfId="948"/>
    <cellStyle name="Shade 5" xfId="75"/>
    <cellStyle name="Shade_B_border2" xfId="178"/>
    <cellStyle name="Standard 2" xfId="42"/>
    <cellStyle name="Standard 2 2" xfId="397"/>
    <cellStyle name="Standard 2 2 2" xfId="507"/>
    <cellStyle name="Standard 2 3" xfId="506"/>
    <cellStyle name="Title 2" xfId="179"/>
    <cellStyle name="Title 3" xfId="238"/>
    <cellStyle name="Total 2" xfId="180"/>
    <cellStyle name="Total 2 2" xfId="567"/>
    <cellStyle name="Total 2 2 2" xfId="782"/>
    <cellStyle name="Total 2 2 2 2" xfId="1223"/>
    <cellStyle name="Total 2 2 3" xfId="1017"/>
    <cellStyle name="Total 2 3" xfId="628"/>
    <cellStyle name="Total 2 3 2" xfId="843"/>
    <cellStyle name="Total 2 3 2 2" xfId="1284"/>
    <cellStyle name="Total 2 3 3" xfId="1078"/>
    <cellStyle name="Total 2 4" xfId="516"/>
    <cellStyle name="Total 2 4 2" xfId="731"/>
    <cellStyle name="Total 2 4 2 2" xfId="1172"/>
    <cellStyle name="Total 2 4 3" xfId="966"/>
    <cellStyle name="Total 2 5" xfId="687"/>
    <cellStyle name="Total 2 5 2" xfId="1136"/>
    <cellStyle name="Total 2 6" xfId="920"/>
    <cellStyle name="Total 3" xfId="239"/>
    <cellStyle name="Total 3 2" xfId="591"/>
    <cellStyle name="Total 3 2 2" xfId="806"/>
    <cellStyle name="Total 3 2 2 2" xfId="1247"/>
    <cellStyle name="Total 3 2 3" xfId="1041"/>
    <cellStyle name="Total 3 3" xfId="554"/>
    <cellStyle name="Total 3 3 2" xfId="769"/>
    <cellStyle name="Total 3 3 2 2" xfId="1210"/>
    <cellStyle name="Total 3 3 3" xfId="1004"/>
    <cellStyle name="Total 3 4" xfId="595"/>
    <cellStyle name="Total 3 4 2" xfId="810"/>
    <cellStyle name="Total 3 4 2 2" xfId="1251"/>
    <cellStyle name="Total 3 4 3" xfId="1045"/>
    <cellStyle name="Total 3 5" xfId="692"/>
    <cellStyle name="Total 3 5 2" xfId="1141"/>
    <cellStyle name="Total 3 6" xfId="925"/>
    <cellStyle name="Überschrift" xfId="181"/>
    <cellStyle name="Überschrift 1" xfId="182"/>
    <cellStyle name="Überschrift 2" xfId="183"/>
    <cellStyle name="Überschrift 3" xfId="184"/>
    <cellStyle name="Überschrift 4" xfId="185"/>
    <cellStyle name="Verknüpfte Zelle" xfId="186"/>
    <cellStyle name="Warnender Text" xfId="47" hidden="1"/>
    <cellStyle name="Warnender Text" xfId="894" hidden="1"/>
    <cellStyle name="Warnender Text 2" xfId="396"/>
    <cellStyle name="Warnender Text 3" xfId="287"/>
    <cellStyle name="Warning Text 2" xfId="187"/>
    <cellStyle name="Warning Text 3" xfId="240"/>
    <cellStyle name="Zelle überprüfen" xfId="188"/>
    <cellStyle name="Гиперссылка" xfId="189"/>
    <cellStyle name="Гиперссылка 2" xfId="190"/>
    <cellStyle name="Гиперссылка 3" xfId="198"/>
    <cellStyle name="Гиперссылка 4" xfId="370"/>
    <cellStyle name="Обычный_2++" xfId="31"/>
    <cellStyle name="Обычный_LULUCF module - v 1.0" xfId="13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75818483215918E-2"/>
          <c:y val="4.6712962962962977E-2"/>
          <c:w val="0.85541573194383624"/>
          <c:h val="0.48836956416206295"/>
        </c:manualLayout>
      </c:layout>
      <c:barChart>
        <c:barDir val="col"/>
        <c:grouping val="clustered"/>
        <c:varyColors val="0"/>
        <c:ser>
          <c:idx val="1"/>
          <c:order val="1"/>
          <c:tx>
            <c:strRef>
              <c:f>'Practices captured (fig S1)'!$J$1</c:f>
              <c:strCache>
                <c:ptCount val="1"/>
                <c:pt idx="0">
                  <c:v>Share of total EU cropland area</c:v>
                </c:pt>
              </c:strCache>
            </c:strRef>
          </c:tx>
          <c:spPr>
            <a:solidFill>
              <a:schemeClr val="accent6">
                <a:lumMod val="60000"/>
                <a:lumOff val="40000"/>
              </a:schemeClr>
            </a:solidFill>
            <a:ln>
              <a:noFill/>
            </a:ln>
            <a:effectLst/>
          </c:spPr>
          <c:invertIfNegative val="0"/>
          <c:cat>
            <c:strRef>
              <c:f>'Practices captured (fig S1)'!$H$4:$H$15</c:f>
              <c:strCache>
                <c:ptCount val="12"/>
                <c:pt idx="0">
                  <c:v>Agroforestry</c:v>
                </c:pt>
                <c:pt idx="1">
                  <c:v>Temporary grassland</c:v>
                </c:pt>
                <c:pt idx="2">
                  <c:v>Cover crops</c:v>
                </c:pt>
                <c:pt idx="3">
                  <c:v>Hedges</c:v>
                </c:pt>
                <c:pt idx="4">
                  <c:v>Organic farming</c:v>
                </c:pt>
                <c:pt idx="5">
                  <c:v>Internal organic inputs (manure, …)</c:v>
                </c:pt>
                <c:pt idx="6">
                  <c:v>Perennial crops</c:v>
                </c:pt>
                <c:pt idx="7">
                  <c:v>Reduced tillage</c:v>
                </c:pt>
                <c:pt idx="8">
                  <c:v>External organic inputs (eg. food waste, sludge from waste water treatment plants, …)</c:v>
                </c:pt>
                <c:pt idx="9">
                  <c:v>Yield</c:v>
                </c:pt>
                <c:pt idx="10">
                  <c:v>Temperature</c:v>
                </c:pt>
                <c:pt idx="11">
                  <c:v>Precipitation</c:v>
                </c:pt>
              </c:strCache>
            </c:strRef>
          </c:cat>
          <c:val>
            <c:numRef>
              <c:f>'Practices captured (fig S1)'!$J$4:$J$15</c:f>
              <c:numCache>
                <c:formatCode>0%</c:formatCode>
                <c:ptCount val="12"/>
                <c:pt idx="0">
                  <c:v>8.3838916303684684E-3</c:v>
                </c:pt>
                <c:pt idx="1">
                  <c:v>4.7836894058839882E-2</c:v>
                </c:pt>
                <c:pt idx="2">
                  <c:v>0.44624766819841988</c:v>
                </c:pt>
                <c:pt idx="3">
                  <c:v>0.15104624459345772</c:v>
                </c:pt>
                <c:pt idx="4">
                  <c:v>0.12109166698941592</c:v>
                </c:pt>
                <c:pt idx="5">
                  <c:v>0.34713586421944903</c:v>
                </c:pt>
                <c:pt idx="6">
                  <c:v>0.6338424687664207</c:v>
                </c:pt>
                <c:pt idx="7">
                  <c:v>0.4542519195982917</c:v>
                </c:pt>
                <c:pt idx="8">
                  <c:v>0.16920358249956843</c:v>
                </c:pt>
                <c:pt idx="9">
                  <c:v>7.7503640293925605E-2</c:v>
                </c:pt>
                <c:pt idx="10">
                  <c:v>7.7503640293925605E-2</c:v>
                </c:pt>
                <c:pt idx="11">
                  <c:v>7.7503640293925605E-2</c:v>
                </c:pt>
              </c:numCache>
            </c:numRef>
          </c:val>
          <c:extLst>
            <c:ext xmlns:c16="http://schemas.microsoft.com/office/drawing/2014/chart" uri="{C3380CC4-5D6E-409C-BE32-E72D297353CC}">
              <c16:uniqueId val="{00000001-C6E1-4410-AEC8-748FB3174E8A}"/>
            </c:ext>
          </c:extLst>
        </c:ser>
        <c:dLbls>
          <c:showLegendKey val="0"/>
          <c:showVal val="0"/>
          <c:showCatName val="0"/>
          <c:showSerName val="0"/>
          <c:showPercent val="0"/>
          <c:showBubbleSize val="0"/>
        </c:dLbls>
        <c:gapWidth val="219"/>
        <c:axId val="1693324560"/>
        <c:axId val="1693324976"/>
      </c:barChart>
      <c:lineChart>
        <c:grouping val="standard"/>
        <c:varyColors val="0"/>
        <c:ser>
          <c:idx val="0"/>
          <c:order val="0"/>
          <c:tx>
            <c:strRef>
              <c:f>'Practices captured (fig S1)'!$I$1</c:f>
              <c:strCache>
                <c:ptCount val="1"/>
                <c:pt idx="0">
                  <c:v># of MS</c:v>
                </c:pt>
              </c:strCache>
            </c:strRef>
          </c:tx>
          <c:spPr>
            <a:ln w="28575" cap="rnd">
              <a:noFill/>
              <a:round/>
            </a:ln>
            <a:effectLst/>
          </c:spPr>
          <c:marker>
            <c:symbol val="circle"/>
            <c:size val="5"/>
            <c:spPr>
              <a:solidFill>
                <a:schemeClr val="tx1"/>
              </a:solidFill>
              <a:ln w="15875">
                <a:noFill/>
              </a:ln>
              <a:effectLst/>
            </c:spPr>
          </c:marker>
          <c:cat>
            <c:strRef>
              <c:f>'Practices captured (fig S1)'!$H$4:$H$15</c:f>
              <c:strCache>
                <c:ptCount val="12"/>
                <c:pt idx="0">
                  <c:v>Agroforestry</c:v>
                </c:pt>
                <c:pt idx="1">
                  <c:v>Temporary grassland</c:v>
                </c:pt>
                <c:pt idx="2">
                  <c:v>Cover crops</c:v>
                </c:pt>
                <c:pt idx="3">
                  <c:v>Hedges</c:v>
                </c:pt>
                <c:pt idx="4">
                  <c:v>Organic farming</c:v>
                </c:pt>
                <c:pt idx="5">
                  <c:v>Internal organic inputs (manure, …)</c:v>
                </c:pt>
                <c:pt idx="6">
                  <c:v>Perennial crops</c:v>
                </c:pt>
                <c:pt idx="7">
                  <c:v>Reduced tillage</c:v>
                </c:pt>
                <c:pt idx="8">
                  <c:v>External organic inputs (eg. food waste, sludge from waste water treatment plants, …)</c:v>
                </c:pt>
                <c:pt idx="9">
                  <c:v>Yield</c:v>
                </c:pt>
                <c:pt idx="10">
                  <c:v>Temperature</c:v>
                </c:pt>
                <c:pt idx="11">
                  <c:v>Precipitation</c:v>
                </c:pt>
              </c:strCache>
            </c:strRef>
          </c:cat>
          <c:val>
            <c:numRef>
              <c:f>'Practices captured (fig S1)'!$I$4:$I$15</c:f>
              <c:numCache>
                <c:formatCode>General</c:formatCode>
                <c:ptCount val="12"/>
                <c:pt idx="0">
                  <c:v>1</c:v>
                </c:pt>
                <c:pt idx="1">
                  <c:v>4</c:v>
                </c:pt>
                <c:pt idx="2">
                  <c:v>5</c:v>
                </c:pt>
                <c:pt idx="3">
                  <c:v>2</c:v>
                </c:pt>
                <c:pt idx="4">
                  <c:v>4</c:v>
                </c:pt>
                <c:pt idx="5">
                  <c:v>7</c:v>
                </c:pt>
                <c:pt idx="6">
                  <c:v>16</c:v>
                </c:pt>
                <c:pt idx="7">
                  <c:v>8</c:v>
                </c:pt>
                <c:pt idx="8">
                  <c:v>5</c:v>
                </c:pt>
                <c:pt idx="9">
                  <c:v>4</c:v>
                </c:pt>
                <c:pt idx="10">
                  <c:v>4</c:v>
                </c:pt>
                <c:pt idx="11">
                  <c:v>4</c:v>
                </c:pt>
              </c:numCache>
            </c:numRef>
          </c:val>
          <c:smooth val="0"/>
          <c:extLst>
            <c:ext xmlns:c16="http://schemas.microsoft.com/office/drawing/2014/chart" uri="{C3380CC4-5D6E-409C-BE32-E72D297353CC}">
              <c16:uniqueId val="{00000000-C6E1-4410-AEC8-748FB3174E8A}"/>
            </c:ext>
          </c:extLst>
        </c:ser>
        <c:dLbls>
          <c:showLegendKey val="0"/>
          <c:showVal val="0"/>
          <c:showCatName val="0"/>
          <c:showSerName val="0"/>
          <c:showPercent val="0"/>
          <c:showBubbleSize val="0"/>
        </c:dLbls>
        <c:marker val="1"/>
        <c:smooth val="0"/>
        <c:axId val="1844670864"/>
        <c:axId val="1805318784"/>
      </c:lineChart>
      <c:catAx>
        <c:axId val="169332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693324976"/>
        <c:crosses val="autoZero"/>
        <c:auto val="1"/>
        <c:lblAlgn val="ctr"/>
        <c:lblOffset val="100"/>
        <c:noMultiLvlLbl val="0"/>
      </c:catAx>
      <c:valAx>
        <c:axId val="16933249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693324560"/>
        <c:crosses val="autoZero"/>
        <c:crossBetween val="between"/>
        <c:majorUnit val="0.2"/>
      </c:valAx>
      <c:valAx>
        <c:axId val="1805318784"/>
        <c:scaling>
          <c:orientation val="minMax"/>
          <c:max val="27"/>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844670864"/>
        <c:crosses val="max"/>
        <c:crossBetween val="between"/>
      </c:valAx>
      <c:catAx>
        <c:axId val="1844670864"/>
        <c:scaling>
          <c:orientation val="minMax"/>
        </c:scaling>
        <c:delete val="1"/>
        <c:axPos val="b"/>
        <c:numFmt formatCode="General" sourceLinked="1"/>
        <c:majorTickMark val="out"/>
        <c:minorTickMark val="none"/>
        <c:tickLblPos val="nextTo"/>
        <c:crossAx val="1805318784"/>
        <c:crosses val="autoZero"/>
        <c:auto val="1"/>
        <c:lblAlgn val="ctr"/>
        <c:lblOffset val="100"/>
        <c:noMultiLvlLbl val="0"/>
      </c:catAx>
      <c:spPr>
        <a:noFill/>
        <a:ln>
          <a:noFill/>
        </a:ln>
        <a:effectLst/>
      </c:spPr>
    </c:plotArea>
    <c:legend>
      <c:legendPos val="r"/>
      <c:layout>
        <c:manualLayout>
          <c:xMode val="edge"/>
          <c:yMode val="edge"/>
          <c:x val="0.66401950181879932"/>
          <c:y val="0.85150797272412448"/>
          <c:w val="0.3351874361334799"/>
          <c:h val="0.132381525675505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96871997830391"/>
          <c:y val="3.3912219305920095E-2"/>
          <c:w val="0.8239603587204839"/>
          <c:h val="0.7579953390781905"/>
        </c:manualLayout>
      </c:layout>
      <c:stockChart>
        <c:ser>
          <c:idx val="0"/>
          <c:order val="0"/>
          <c:tx>
            <c:strRef>
              <c:f>'Estimates (table 1)'!$B$9</c:f>
              <c:strCache>
                <c:ptCount val="1"/>
                <c:pt idx="0">
                  <c:v>Upper end</c:v>
                </c:pt>
              </c:strCache>
            </c:strRef>
          </c:tx>
          <c:spPr>
            <a:ln w="19050" cap="rnd">
              <a:noFill/>
              <a:round/>
            </a:ln>
            <a:effectLst/>
          </c:spPr>
          <c:marker>
            <c:symbol val="dash"/>
            <c:size val="5"/>
            <c:spPr>
              <a:solidFill>
                <a:schemeClr val="accent1"/>
              </a:solidFill>
              <a:ln w="9525">
                <a:solidFill>
                  <a:schemeClr val="tx1"/>
                </a:solidFill>
              </a:ln>
              <a:effectLst/>
            </c:spPr>
          </c:marker>
          <c:cat>
            <c:strRef>
              <c:f>'Estimates (table 1)'!$A$10:$A$17</c:f>
              <c:strCache>
                <c:ptCount val="8"/>
                <c:pt idx="0">
                  <c:v>Cropland (reported)</c:v>
                </c:pt>
                <c:pt idx="1">
                  <c:v>Cropland (upscaled estimate)</c:v>
                </c:pt>
                <c:pt idx="2">
                  <c:v>Forests (reported)</c:v>
                </c:pt>
                <c:pt idx="3">
                  <c:v>Forests (upscaled estimate)</c:v>
                </c:pt>
                <c:pt idx="4">
                  <c:v>Grassland (reported)</c:v>
                </c:pt>
                <c:pt idx="5">
                  <c:v>Grassland (upscaled estimate)</c:v>
                </c:pt>
                <c:pt idx="6">
                  <c:v>Total (reported)</c:v>
                </c:pt>
                <c:pt idx="7">
                  <c:v>Total (upscaled estimate)</c:v>
                </c:pt>
              </c:strCache>
            </c:strRef>
          </c:cat>
          <c:val>
            <c:numRef>
              <c:f>'Estimates (table 1)'!$B$10:$B$17</c:f>
              <c:numCache>
                <c:formatCode>0</c:formatCode>
                <c:ptCount val="8"/>
                <c:pt idx="1">
                  <c:v>201.58583339999998</c:v>
                </c:pt>
                <c:pt idx="3">
                  <c:v>0</c:v>
                </c:pt>
                <c:pt idx="5">
                  <c:v>6.6901805081987273</c:v>
                </c:pt>
                <c:pt idx="7">
                  <c:v>48.381629545618061</c:v>
                </c:pt>
              </c:numCache>
            </c:numRef>
          </c:val>
          <c:smooth val="0"/>
          <c:extLst>
            <c:ext xmlns:c16="http://schemas.microsoft.com/office/drawing/2014/chart" uri="{C3380CC4-5D6E-409C-BE32-E72D297353CC}">
              <c16:uniqueId val="{00000000-10B5-436B-B86E-6AB71280C854}"/>
            </c:ext>
          </c:extLst>
        </c:ser>
        <c:ser>
          <c:idx val="1"/>
          <c:order val="1"/>
          <c:tx>
            <c:strRef>
              <c:f>'Estimates (table 1)'!$C$9</c:f>
              <c:strCache>
                <c:ptCount val="1"/>
                <c:pt idx="0">
                  <c:v>Lower end</c:v>
                </c:pt>
              </c:strCache>
            </c:strRef>
          </c:tx>
          <c:spPr>
            <a:ln w="19050" cap="rnd">
              <a:noFill/>
              <a:round/>
            </a:ln>
            <a:effectLst/>
          </c:spPr>
          <c:marker>
            <c:symbol val="dash"/>
            <c:size val="5"/>
            <c:spPr>
              <a:solidFill>
                <a:schemeClr val="accent2"/>
              </a:solidFill>
              <a:ln w="9525">
                <a:solidFill>
                  <a:schemeClr val="tx1"/>
                </a:solidFill>
              </a:ln>
              <a:effectLst/>
            </c:spPr>
          </c:marker>
          <c:cat>
            <c:strRef>
              <c:f>'Estimates (table 1)'!$A$10:$A$17</c:f>
              <c:strCache>
                <c:ptCount val="8"/>
                <c:pt idx="0">
                  <c:v>Cropland (reported)</c:v>
                </c:pt>
                <c:pt idx="1">
                  <c:v>Cropland (upscaled estimate)</c:v>
                </c:pt>
                <c:pt idx="2">
                  <c:v>Forests (reported)</c:v>
                </c:pt>
                <c:pt idx="3">
                  <c:v>Forests (upscaled estimate)</c:v>
                </c:pt>
                <c:pt idx="4">
                  <c:v>Grassland (reported)</c:v>
                </c:pt>
                <c:pt idx="5">
                  <c:v>Grassland (upscaled estimate)</c:v>
                </c:pt>
                <c:pt idx="6">
                  <c:v>Total (reported)</c:v>
                </c:pt>
                <c:pt idx="7">
                  <c:v>Total (upscaled estimate)</c:v>
                </c:pt>
              </c:strCache>
            </c:strRef>
          </c:cat>
          <c:val>
            <c:numRef>
              <c:f>'Estimates (table 1)'!$C$10:$C$17</c:f>
              <c:numCache>
                <c:formatCode>0</c:formatCode>
                <c:ptCount val="8"/>
                <c:pt idx="1">
                  <c:v>-64.507466688000008</c:v>
                </c:pt>
                <c:pt idx="3">
                  <c:v>-217.41635318156409</c:v>
                </c:pt>
                <c:pt idx="5">
                  <c:v>-37.911022879792796</c:v>
                </c:pt>
                <c:pt idx="7">
                  <c:v>-152.71929647965206</c:v>
                </c:pt>
              </c:numCache>
            </c:numRef>
          </c:val>
          <c:smooth val="0"/>
          <c:extLst>
            <c:ext xmlns:c16="http://schemas.microsoft.com/office/drawing/2014/chart" uri="{C3380CC4-5D6E-409C-BE32-E72D297353CC}">
              <c16:uniqueId val="{00000001-10B5-436B-B86E-6AB71280C854}"/>
            </c:ext>
          </c:extLst>
        </c:ser>
        <c:ser>
          <c:idx val="2"/>
          <c:order val="2"/>
          <c:tx>
            <c:strRef>
              <c:f>'Estimates (table 1)'!$D$9</c:f>
              <c:strCache>
                <c:ptCount val="1"/>
                <c:pt idx="0">
                  <c:v>Middle</c:v>
                </c:pt>
              </c:strCache>
            </c:strRef>
          </c:tx>
          <c:spPr>
            <a:ln w="19050" cap="rnd">
              <a:noFill/>
              <a:round/>
            </a:ln>
            <a:effectLst/>
          </c:spPr>
          <c:marker>
            <c:symbol val="diamond"/>
            <c:size val="7"/>
            <c:spPr>
              <a:solidFill>
                <a:schemeClr val="accent3"/>
              </a:solidFill>
              <a:ln w="12700">
                <a:solidFill>
                  <a:schemeClr val="tx1"/>
                </a:solidFill>
              </a:ln>
              <a:effectLst/>
            </c:spPr>
          </c:marker>
          <c:cat>
            <c:strRef>
              <c:f>'Estimates (table 1)'!$A$10:$A$17</c:f>
              <c:strCache>
                <c:ptCount val="8"/>
                <c:pt idx="0">
                  <c:v>Cropland (reported)</c:v>
                </c:pt>
                <c:pt idx="1">
                  <c:v>Cropland (upscaled estimate)</c:v>
                </c:pt>
                <c:pt idx="2">
                  <c:v>Forests (reported)</c:v>
                </c:pt>
                <c:pt idx="3">
                  <c:v>Forests (upscaled estimate)</c:v>
                </c:pt>
                <c:pt idx="4">
                  <c:v>Grassland (reported)</c:v>
                </c:pt>
                <c:pt idx="5">
                  <c:v>Grassland (upscaled estimate)</c:v>
                </c:pt>
                <c:pt idx="6">
                  <c:v>Total (reported)</c:v>
                </c:pt>
                <c:pt idx="7">
                  <c:v>Total (upscaled estimate)</c:v>
                </c:pt>
              </c:strCache>
            </c:strRef>
          </c:cat>
          <c:val>
            <c:numRef>
              <c:f>'Estimates (table 1)'!$D$10:$D$17</c:f>
              <c:numCache>
                <c:formatCode>0</c:formatCode>
                <c:ptCount val="8"/>
                <c:pt idx="0">
                  <c:v>-9.6958900693014183</c:v>
                </c:pt>
                <c:pt idx="1">
                  <c:v>68.539183356000009</c:v>
                </c:pt>
                <c:pt idx="2">
                  <c:v>-42.605178288934752</c:v>
                </c:pt>
                <c:pt idx="3">
                  <c:v>-90.148244002111952</c:v>
                </c:pt>
                <c:pt idx="4">
                  <c:v>-3.0645070011298534</c:v>
                </c:pt>
                <c:pt idx="5">
                  <c:v>-24.530661863395331</c:v>
                </c:pt>
                <c:pt idx="6">
                  <c:v>-55.365575359366026</c:v>
                </c:pt>
                <c:pt idx="7">
                  <c:v>-46.139722509507273</c:v>
                </c:pt>
              </c:numCache>
            </c:numRef>
          </c:val>
          <c:smooth val="0"/>
          <c:extLst>
            <c:ext xmlns:c16="http://schemas.microsoft.com/office/drawing/2014/chart" uri="{C3380CC4-5D6E-409C-BE32-E72D297353CC}">
              <c16:uniqueId val="{00000002-10B5-436B-B86E-6AB71280C85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axId val="1142860048"/>
        <c:axId val="1142861296"/>
      </c:stockChart>
      <c:catAx>
        <c:axId val="11428600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142861296"/>
        <c:crosses val="autoZero"/>
        <c:auto val="1"/>
        <c:lblAlgn val="ctr"/>
        <c:lblOffset val="0"/>
        <c:noMultiLvlLbl val="0"/>
      </c:catAx>
      <c:valAx>
        <c:axId val="1142861296"/>
        <c:scaling>
          <c:orientation val="minMax"/>
        </c:scaling>
        <c:delete val="0"/>
        <c:axPos val="l"/>
        <c:majorGridlines>
          <c:spPr>
            <a:ln w="9525" cap="flat" cmpd="sng" algn="ctr">
              <a:solidFill>
                <a:schemeClr val="tx1">
                  <a:lumMod val="15000"/>
                  <a:lumOff val="85000"/>
                </a:schemeClr>
              </a:solidFill>
              <a:round/>
            </a:ln>
            <a:effectLst/>
          </c:spPr>
        </c:majorGridlines>
        <c:title>
          <c:tx>
            <c:strRef>
              <c:f>'Estimates (table 1)'!$A$8</c:f>
              <c:strCache>
                <c:ptCount val="1"/>
                <c:pt idx="0">
                  <c:v>Emissions (MtCO2/yr)</c:v>
                </c:pt>
              </c:strCache>
            </c:strRef>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142860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9461279461286E-2"/>
          <c:y val="4.4723567308097185E-2"/>
          <c:w val="0.58318053466631281"/>
          <c:h val="0.84737659129507203"/>
        </c:manualLayout>
      </c:layout>
      <c:scatterChart>
        <c:scatterStyle val="lineMarker"/>
        <c:varyColors val="0"/>
        <c:ser>
          <c:idx val="0"/>
          <c:order val="0"/>
          <c:tx>
            <c:strRef>
              <c:f>'Model validations (fig S2 S3)'!$A$4</c:f>
              <c:strCache>
                <c:ptCount val="1"/>
                <c:pt idx="0">
                  <c:v>Intermediate Alpine Ridge</c:v>
                </c:pt>
              </c:strCache>
            </c:strRef>
          </c:tx>
          <c:spPr>
            <a:ln w="25400" cap="rnd">
              <a:noFill/>
              <a:round/>
            </a:ln>
            <a:effectLst/>
          </c:spPr>
          <c:marker>
            <c:symbol val="circle"/>
            <c:size val="5"/>
            <c:spPr>
              <a:solidFill>
                <a:schemeClr val="accent1"/>
              </a:solidFill>
              <a:ln w="9525">
                <a:solidFill>
                  <a:schemeClr val="accent1"/>
                </a:solidFill>
              </a:ln>
              <a:effectLst/>
            </c:spPr>
          </c:marker>
          <c:xVal>
            <c:numRef>
              <c:f>'Model validations (fig S2 S3)'!$B$4</c:f>
              <c:numCache>
                <c:formatCode>General</c:formatCode>
                <c:ptCount val="1"/>
                <c:pt idx="0">
                  <c:v>-13.217550274223001</c:v>
                </c:pt>
              </c:numCache>
            </c:numRef>
          </c:xVal>
          <c:yVal>
            <c:numRef>
              <c:f>'Model validations (fig S2 S3)'!$C$4</c:f>
              <c:numCache>
                <c:formatCode>General</c:formatCode>
                <c:ptCount val="1"/>
                <c:pt idx="0">
                  <c:v>-3.2727272727272698</c:v>
                </c:pt>
              </c:numCache>
            </c:numRef>
          </c:yVal>
          <c:smooth val="0"/>
          <c:extLst>
            <c:ext xmlns:c16="http://schemas.microsoft.com/office/drawing/2014/chart" uri="{C3380CC4-5D6E-409C-BE32-E72D297353CC}">
              <c16:uniqueId val="{00000000-B66F-467D-8E50-05C2FEF82F60}"/>
            </c:ext>
          </c:extLst>
        </c:ser>
        <c:ser>
          <c:idx val="1"/>
          <c:order val="1"/>
          <c:tx>
            <c:strRef>
              <c:f>'Model validations (fig S2 S3)'!$A$5</c:f>
              <c:strCache>
                <c:ptCount val="1"/>
                <c:pt idx="0">
                  <c:v>Foot hills</c:v>
                </c:pt>
              </c:strCache>
            </c:strRef>
          </c:tx>
          <c:spPr>
            <a:ln w="25400" cap="rnd">
              <a:noFill/>
              <a:round/>
            </a:ln>
            <a:effectLst/>
          </c:spPr>
          <c:marker>
            <c:symbol val="circle"/>
            <c:size val="5"/>
            <c:spPr>
              <a:solidFill>
                <a:schemeClr val="accent2"/>
              </a:solidFill>
              <a:ln w="9525">
                <a:solidFill>
                  <a:schemeClr val="accent2"/>
                </a:solidFill>
              </a:ln>
              <a:effectLst/>
            </c:spPr>
          </c:marker>
          <c:xVal>
            <c:numRef>
              <c:f>'Model validations (fig S2 S3)'!$B$5</c:f>
              <c:numCache>
                <c:formatCode>General</c:formatCode>
                <c:ptCount val="1"/>
                <c:pt idx="0">
                  <c:v>-12.2303473491773</c:v>
                </c:pt>
              </c:numCache>
            </c:numRef>
          </c:xVal>
          <c:yVal>
            <c:numRef>
              <c:f>'Model validations (fig S2 S3)'!$C$5</c:f>
              <c:numCache>
                <c:formatCode>General</c:formatCode>
                <c:ptCount val="1"/>
                <c:pt idx="0">
                  <c:v>-7.8</c:v>
                </c:pt>
              </c:numCache>
            </c:numRef>
          </c:yVal>
          <c:smooth val="0"/>
          <c:extLst>
            <c:ext xmlns:c16="http://schemas.microsoft.com/office/drawing/2014/chart" uri="{C3380CC4-5D6E-409C-BE32-E72D297353CC}">
              <c16:uniqueId val="{0000000D-B66F-467D-8E50-05C2FEF82F60}"/>
            </c:ext>
          </c:extLst>
        </c:ser>
        <c:ser>
          <c:idx val="2"/>
          <c:order val="2"/>
          <c:tx>
            <c:strRef>
              <c:f>'Model validations (fig S2 S3)'!$A$6</c:f>
              <c:strCache>
                <c:ptCount val="1"/>
                <c:pt idx="0">
                  <c:v>Bohemian Massif</c:v>
                </c:pt>
              </c:strCache>
            </c:strRef>
          </c:tx>
          <c:spPr>
            <a:ln w="25400" cap="rnd">
              <a:noFill/>
              <a:round/>
            </a:ln>
            <a:effectLst/>
          </c:spPr>
          <c:marker>
            <c:symbol val="circle"/>
            <c:size val="5"/>
            <c:spPr>
              <a:solidFill>
                <a:schemeClr val="accent3"/>
              </a:solidFill>
              <a:ln w="9525">
                <a:solidFill>
                  <a:schemeClr val="accent3"/>
                </a:solidFill>
              </a:ln>
              <a:effectLst/>
            </c:spPr>
          </c:marker>
          <c:xVal>
            <c:numRef>
              <c:f>'Model validations (fig S2 S3)'!$B$6</c:f>
              <c:numCache>
                <c:formatCode>General</c:formatCode>
                <c:ptCount val="1"/>
                <c:pt idx="0">
                  <c:v>-1.70018281535649</c:v>
                </c:pt>
              </c:numCache>
            </c:numRef>
          </c:xVal>
          <c:yVal>
            <c:numRef>
              <c:f>'Model validations (fig S2 S3)'!$C$6</c:f>
              <c:numCache>
                <c:formatCode>General</c:formatCode>
                <c:ptCount val="1"/>
                <c:pt idx="0">
                  <c:v>0.381818181818182</c:v>
                </c:pt>
              </c:numCache>
            </c:numRef>
          </c:yVal>
          <c:smooth val="0"/>
          <c:extLst>
            <c:ext xmlns:c16="http://schemas.microsoft.com/office/drawing/2014/chart" uri="{C3380CC4-5D6E-409C-BE32-E72D297353CC}">
              <c16:uniqueId val="{0000000E-B66F-467D-8E50-05C2FEF82F60}"/>
            </c:ext>
          </c:extLst>
        </c:ser>
        <c:ser>
          <c:idx val="3"/>
          <c:order val="3"/>
          <c:tx>
            <c:strRef>
              <c:f>'Model validations (fig S2 S3)'!$A$7</c:f>
              <c:strCache>
                <c:ptCount val="1"/>
                <c:pt idx="0">
                  <c:v>Outer Alpine Ridge</c:v>
                </c:pt>
              </c:strCache>
            </c:strRef>
          </c:tx>
          <c:spPr>
            <a:ln w="25400" cap="rnd">
              <a:noFill/>
              <a:round/>
            </a:ln>
            <a:effectLst/>
          </c:spPr>
          <c:marker>
            <c:symbol val="circle"/>
            <c:size val="5"/>
            <c:spPr>
              <a:solidFill>
                <a:schemeClr val="accent4"/>
              </a:solidFill>
              <a:ln w="9525">
                <a:solidFill>
                  <a:schemeClr val="accent4"/>
                </a:solidFill>
              </a:ln>
              <a:effectLst/>
            </c:spPr>
          </c:marker>
          <c:xVal>
            <c:numRef>
              <c:f>'Model validations (fig S2 S3)'!$B$7</c:f>
              <c:numCache>
                <c:formatCode>General</c:formatCode>
                <c:ptCount val="1"/>
                <c:pt idx="0">
                  <c:v>3.1261425959780502</c:v>
                </c:pt>
              </c:numCache>
            </c:numRef>
          </c:xVal>
          <c:yVal>
            <c:numRef>
              <c:f>'Model validations (fig S2 S3)'!$C$7</c:f>
              <c:numCache>
                <c:formatCode>General</c:formatCode>
                <c:ptCount val="1"/>
                <c:pt idx="0">
                  <c:v>-5.0727272727272696</c:v>
                </c:pt>
              </c:numCache>
            </c:numRef>
          </c:yVal>
          <c:smooth val="0"/>
          <c:extLst>
            <c:ext xmlns:c16="http://schemas.microsoft.com/office/drawing/2014/chart" uri="{C3380CC4-5D6E-409C-BE32-E72D297353CC}">
              <c16:uniqueId val="{0000000F-B66F-467D-8E50-05C2FEF82F60}"/>
            </c:ext>
          </c:extLst>
        </c:ser>
        <c:ser>
          <c:idx val="4"/>
          <c:order val="4"/>
          <c:tx>
            <c:strRef>
              <c:f>'Model validations (fig S2 S3)'!$A$8</c:f>
              <c:strCache>
                <c:ptCount val="1"/>
                <c:pt idx="0">
                  <c:v>Inner Alps</c:v>
                </c:pt>
              </c:strCache>
            </c:strRef>
          </c:tx>
          <c:spPr>
            <a:ln w="25400" cap="rnd">
              <a:noFill/>
              <a:round/>
            </a:ln>
            <a:effectLst/>
          </c:spPr>
          <c:marker>
            <c:symbol val="circle"/>
            <c:size val="5"/>
            <c:spPr>
              <a:solidFill>
                <a:schemeClr val="accent5"/>
              </a:solidFill>
              <a:ln w="9525">
                <a:solidFill>
                  <a:schemeClr val="accent5"/>
                </a:solidFill>
              </a:ln>
              <a:effectLst/>
            </c:spPr>
          </c:marker>
          <c:xVal>
            <c:numRef>
              <c:f>'Model validations (fig S2 S3)'!$B$8</c:f>
              <c:numCache>
                <c:formatCode>General</c:formatCode>
                <c:ptCount val="1"/>
                <c:pt idx="0">
                  <c:v>5.8683729433272296</c:v>
                </c:pt>
              </c:numCache>
            </c:numRef>
          </c:xVal>
          <c:yVal>
            <c:numRef>
              <c:f>'Model validations (fig S2 S3)'!$C$8</c:f>
              <c:numCache>
                <c:formatCode>General</c:formatCode>
                <c:ptCount val="1"/>
                <c:pt idx="0">
                  <c:v>-8.1272727272727305</c:v>
                </c:pt>
              </c:numCache>
            </c:numRef>
          </c:yVal>
          <c:smooth val="0"/>
          <c:extLst>
            <c:ext xmlns:c16="http://schemas.microsoft.com/office/drawing/2014/chart" uri="{C3380CC4-5D6E-409C-BE32-E72D297353CC}">
              <c16:uniqueId val="{00000010-B66F-467D-8E50-05C2FEF82F60}"/>
            </c:ext>
          </c:extLst>
        </c:ser>
        <c:ser>
          <c:idx val="5"/>
          <c:order val="5"/>
          <c:tx>
            <c:strRef>
              <c:f>'Model validations (fig S2 S3)'!$A$9</c:f>
              <c:strCache>
                <c:ptCount val="1"/>
                <c:pt idx="0">
                  <c:v>Calcareous Alps</c:v>
                </c:pt>
              </c:strCache>
            </c:strRef>
          </c:tx>
          <c:spPr>
            <a:ln w="25400" cap="rnd">
              <a:noFill/>
              <a:round/>
            </a:ln>
            <a:effectLst/>
          </c:spPr>
          <c:marker>
            <c:symbol val="circle"/>
            <c:size val="5"/>
            <c:spPr>
              <a:solidFill>
                <a:schemeClr val="accent6"/>
              </a:solidFill>
              <a:ln w="9525">
                <a:solidFill>
                  <a:schemeClr val="accent6"/>
                </a:solidFill>
              </a:ln>
              <a:effectLst/>
            </c:spPr>
          </c:marker>
          <c:xVal>
            <c:numRef>
              <c:f>'Model validations (fig S2 S3)'!$B$9</c:f>
              <c:numCache>
                <c:formatCode>General</c:formatCode>
                <c:ptCount val="1"/>
                <c:pt idx="0">
                  <c:v>5.9780621572212</c:v>
                </c:pt>
              </c:numCache>
            </c:numRef>
          </c:xVal>
          <c:yVal>
            <c:numRef>
              <c:f>'Model validations (fig S2 S3)'!$C$9</c:f>
              <c:numCache>
                <c:formatCode>General</c:formatCode>
                <c:ptCount val="1"/>
                <c:pt idx="0">
                  <c:v>-1.8</c:v>
                </c:pt>
              </c:numCache>
            </c:numRef>
          </c:yVal>
          <c:smooth val="0"/>
          <c:extLst>
            <c:ext xmlns:c16="http://schemas.microsoft.com/office/drawing/2014/chart" uri="{C3380CC4-5D6E-409C-BE32-E72D297353CC}">
              <c16:uniqueId val="{00000011-B66F-467D-8E50-05C2FEF82F60}"/>
            </c:ext>
          </c:extLst>
        </c:ser>
        <c:ser>
          <c:idx val="6"/>
          <c:order val="6"/>
          <c:tx>
            <c:strRef>
              <c:f>'Model validations (fig S2 S3)'!$A$10</c:f>
              <c:strCache>
                <c:ptCount val="1"/>
                <c:pt idx="0">
                  <c:v>National average</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'Model validations (fig S2 S3)'!$B$10</c:f>
              <c:numCache>
                <c:formatCode>General</c:formatCode>
                <c:ptCount val="1"/>
                <c:pt idx="0">
                  <c:v>-1.70018281535649</c:v>
                </c:pt>
              </c:numCache>
            </c:numRef>
          </c:xVal>
          <c:yVal>
            <c:numRef>
              <c:f>'Model validations (fig S2 S3)'!$C$10</c:f>
              <c:numCache>
                <c:formatCode>General</c:formatCode>
                <c:ptCount val="1"/>
                <c:pt idx="0">
                  <c:v>-3.6</c:v>
                </c:pt>
              </c:numCache>
            </c:numRef>
          </c:yVal>
          <c:smooth val="0"/>
          <c:extLst>
            <c:ext xmlns:c16="http://schemas.microsoft.com/office/drawing/2014/chart" uri="{C3380CC4-5D6E-409C-BE32-E72D297353CC}">
              <c16:uniqueId val="{00000012-B66F-467D-8E50-05C2FEF82F60}"/>
            </c:ext>
          </c:extLst>
        </c:ser>
        <c:dLbls>
          <c:showLegendKey val="0"/>
          <c:showVal val="0"/>
          <c:showCatName val="0"/>
          <c:showSerName val="0"/>
          <c:showPercent val="0"/>
          <c:showBubbleSize val="0"/>
        </c:dLbls>
        <c:axId val="1130941375"/>
        <c:axId val="1130946367"/>
      </c:scatterChart>
      <c:valAx>
        <c:axId val="1130941375"/>
        <c:scaling>
          <c:orientation val="minMax"/>
          <c:max val="10"/>
          <c:min val="-15"/>
        </c:scaling>
        <c:delete val="0"/>
        <c:axPos val="b"/>
        <c:majorGridlines>
          <c:spPr>
            <a:ln w="9525" cap="flat" cmpd="sng" algn="ctr">
              <a:noFill/>
              <a:round/>
            </a:ln>
            <a:effectLst/>
          </c:spPr>
        </c:majorGridlines>
        <c:title>
          <c:tx>
            <c:strRef>
              <c:f>'Model validations (fig S2 S3)'!$B$3</c:f>
              <c:strCache>
                <c:ptCount val="1"/>
                <c:pt idx="0">
                  <c:v>Simulated SOC change (MgC/ha)</c:v>
                </c:pt>
              </c:strCache>
            </c:strRef>
          </c:tx>
          <c:layout>
            <c:manualLayout>
              <c:xMode val="edge"/>
              <c:yMode val="edge"/>
              <c:x val="0.1224982767305602"/>
              <c:y val="0.9257579968279365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cross"/>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130946367"/>
        <c:crosses val="autoZero"/>
        <c:crossBetween val="midCat"/>
        <c:majorUnit val="5"/>
      </c:valAx>
      <c:valAx>
        <c:axId val="1130946367"/>
        <c:scaling>
          <c:orientation val="minMax"/>
          <c:max val="10"/>
          <c:min val="-15"/>
        </c:scaling>
        <c:delete val="0"/>
        <c:axPos val="l"/>
        <c:majorGridlines>
          <c:spPr>
            <a:ln w="9525" cap="flat" cmpd="sng" algn="ctr">
              <a:noFill/>
              <a:round/>
            </a:ln>
            <a:effectLst/>
          </c:spPr>
        </c:majorGridlines>
        <c:title>
          <c:tx>
            <c:strRef>
              <c:f>'Model validations (fig S2 S3)'!$C$3</c:f>
              <c:strCache>
                <c:ptCount val="1"/>
                <c:pt idx="0">
                  <c:v>Measured SOC change (MgC/ha)</c:v>
                </c:pt>
              </c:strCache>
            </c:strRef>
          </c:tx>
          <c:layout>
            <c:manualLayout>
              <c:xMode val="edge"/>
              <c:yMode val="edge"/>
              <c:x val="5.5555555555555558E-3"/>
              <c:y val="2.7777777777777776E-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cross"/>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130941375"/>
        <c:crosses val="autoZero"/>
        <c:crossBetween val="midCat"/>
      </c:valAx>
      <c:spPr>
        <a:noFill/>
        <a:ln>
          <a:noFill/>
        </a:ln>
        <a:effectLst/>
      </c:spPr>
    </c:plotArea>
    <c:legend>
      <c:legendPos val="b"/>
      <c:layout>
        <c:manualLayout>
          <c:xMode val="edge"/>
          <c:yMode val="edge"/>
          <c:x val="0.71710165442802809"/>
          <c:y val="2.6110853790335082E-2"/>
          <c:w val="0.25877532513491991"/>
          <c:h val="0.9524987718781141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9087705328969"/>
          <c:y val="4.4723567308097185E-2"/>
          <c:w val="0.54572735114571347"/>
          <c:h val="0.79676936890985794"/>
        </c:manualLayout>
      </c:layout>
      <c:scatterChart>
        <c:scatterStyle val="lineMarker"/>
        <c:varyColors val="0"/>
        <c:ser>
          <c:idx val="0"/>
          <c:order val="0"/>
          <c:tx>
            <c:strRef>
              <c:f>'Model validations (fig S2 S3)'!$G$4</c:f>
              <c:strCache>
                <c:ptCount val="1"/>
                <c:pt idx="0">
                  <c:v>Inventory model, first period</c:v>
                </c:pt>
              </c:strCache>
            </c:strRef>
          </c:tx>
          <c:spPr>
            <a:ln w="25400" cap="rnd">
              <a:noFill/>
              <a:round/>
            </a:ln>
            <a:effectLst/>
          </c:spPr>
          <c:marker>
            <c:symbol val="circle"/>
            <c:size val="5"/>
            <c:spPr>
              <a:solidFill>
                <a:schemeClr val="accent1"/>
              </a:solidFill>
              <a:ln w="9525">
                <a:solidFill>
                  <a:schemeClr val="accent1"/>
                </a:solidFill>
              </a:ln>
              <a:effectLst/>
            </c:spPr>
          </c:marker>
          <c:xVal>
            <c:numRef>
              <c:f>'Model validations (fig S2 S3)'!$H$4</c:f>
              <c:numCache>
                <c:formatCode>General</c:formatCode>
                <c:ptCount val="1"/>
                <c:pt idx="0">
                  <c:v>5.4812510752121302</c:v>
                </c:pt>
              </c:numCache>
            </c:numRef>
          </c:xVal>
          <c:yVal>
            <c:numRef>
              <c:f>'Model validations (fig S2 S3)'!$I$4</c:f>
              <c:numCache>
                <c:formatCode>General</c:formatCode>
                <c:ptCount val="1"/>
                <c:pt idx="0">
                  <c:v>1.4435867411776999</c:v>
                </c:pt>
              </c:numCache>
            </c:numRef>
          </c:yVal>
          <c:smooth val="0"/>
          <c:extLst>
            <c:ext xmlns:c16="http://schemas.microsoft.com/office/drawing/2014/chart" uri="{C3380CC4-5D6E-409C-BE32-E72D297353CC}">
              <c16:uniqueId val="{00000000-E834-4A32-AD9D-815CAEF711DF}"/>
            </c:ext>
          </c:extLst>
        </c:ser>
        <c:ser>
          <c:idx val="1"/>
          <c:order val="1"/>
          <c:tx>
            <c:strRef>
              <c:f>'Model validations (fig S2 S3)'!$G$5</c:f>
              <c:strCache>
                <c:ptCount val="1"/>
                <c:pt idx="0">
                  <c:v>Inventory model, second period</c:v>
                </c:pt>
              </c:strCache>
            </c:strRef>
          </c:tx>
          <c:spPr>
            <a:ln w="25400" cap="rnd">
              <a:noFill/>
              <a:round/>
            </a:ln>
            <a:effectLst/>
          </c:spPr>
          <c:marker>
            <c:symbol val="circle"/>
            <c:size val="5"/>
            <c:spPr>
              <a:solidFill>
                <a:schemeClr val="accent2"/>
              </a:solidFill>
              <a:ln w="9525">
                <a:solidFill>
                  <a:schemeClr val="accent2"/>
                </a:solidFill>
              </a:ln>
              <a:effectLst/>
            </c:spPr>
          </c:marker>
          <c:xVal>
            <c:numRef>
              <c:f>'Model validations (fig S2 S3)'!$H$5</c:f>
              <c:numCache>
                <c:formatCode>General</c:formatCode>
                <c:ptCount val="1"/>
                <c:pt idx="0">
                  <c:v>5.52828293478803</c:v>
                </c:pt>
              </c:numCache>
            </c:numRef>
          </c:xVal>
          <c:yVal>
            <c:numRef>
              <c:f>'Model validations (fig S2 S3)'!$I$5</c:f>
              <c:numCache>
                <c:formatCode>General</c:formatCode>
                <c:ptCount val="1"/>
                <c:pt idx="0">
                  <c:v>2.48827671936824</c:v>
                </c:pt>
              </c:numCache>
            </c:numRef>
          </c:yVal>
          <c:smooth val="0"/>
          <c:extLst>
            <c:ext xmlns:c16="http://schemas.microsoft.com/office/drawing/2014/chart" uri="{C3380CC4-5D6E-409C-BE32-E72D297353CC}">
              <c16:uniqueId val="{00000001-E834-4A32-AD9D-815CAEF711DF}"/>
            </c:ext>
          </c:extLst>
        </c:ser>
        <c:ser>
          <c:idx val="2"/>
          <c:order val="2"/>
          <c:tx>
            <c:strRef>
              <c:f>'Model validations (fig S2 S3)'!$G$6</c:f>
              <c:strCache>
                <c:ptCount val="1"/>
                <c:pt idx="0">
                  <c:v>Yasso, first period</c:v>
                </c:pt>
              </c:strCache>
            </c:strRef>
          </c:tx>
          <c:spPr>
            <a:ln w="25400" cap="rnd">
              <a:noFill/>
              <a:round/>
            </a:ln>
            <a:effectLst/>
          </c:spPr>
          <c:marker>
            <c:symbol val="circle"/>
            <c:size val="5"/>
            <c:spPr>
              <a:solidFill>
                <a:schemeClr val="accent3"/>
              </a:solidFill>
              <a:ln w="9525">
                <a:solidFill>
                  <a:schemeClr val="accent3"/>
                </a:solidFill>
              </a:ln>
              <a:effectLst/>
            </c:spPr>
          </c:marker>
          <c:xVal>
            <c:numRef>
              <c:f>'Model validations (fig S2 S3)'!$H$6</c:f>
              <c:numCache>
                <c:formatCode>General</c:formatCode>
                <c:ptCount val="1"/>
                <c:pt idx="0">
                  <c:v>3.6384068547201101</c:v>
                </c:pt>
              </c:numCache>
            </c:numRef>
          </c:xVal>
          <c:yVal>
            <c:numRef>
              <c:f>'Model validations (fig S2 S3)'!$I$6</c:f>
              <c:numCache>
                <c:formatCode>General</c:formatCode>
                <c:ptCount val="1"/>
                <c:pt idx="0">
                  <c:v>1.4435867411776999</c:v>
                </c:pt>
              </c:numCache>
            </c:numRef>
          </c:yVal>
          <c:smooth val="0"/>
          <c:extLst>
            <c:ext xmlns:c16="http://schemas.microsoft.com/office/drawing/2014/chart" uri="{C3380CC4-5D6E-409C-BE32-E72D297353CC}">
              <c16:uniqueId val="{00000002-E834-4A32-AD9D-815CAEF711DF}"/>
            </c:ext>
          </c:extLst>
        </c:ser>
        <c:ser>
          <c:idx val="3"/>
          <c:order val="3"/>
          <c:tx>
            <c:strRef>
              <c:f>'Model validations (fig S2 S3)'!$G$7</c:f>
              <c:strCache>
                <c:ptCount val="1"/>
                <c:pt idx="0">
                  <c:v>Yasso, first period</c:v>
                </c:pt>
              </c:strCache>
            </c:strRef>
          </c:tx>
          <c:spPr>
            <a:ln w="25400" cap="rnd">
              <a:noFill/>
              <a:round/>
            </a:ln>
            <a:effectLst/>
          </c:spPr>
          <c:marker>
            <c:symbol val="circle"/>
            <c:size val="5"/>
            <c:spPr>
              <a:solidFill>
                <a:schemeClr val="accent4"/>
              </a:solidFill>
              <a:ln w="9525">
                <a:solidFill>
                  <a:schemeClr val="accent4"/>
                </a:solidFill>
              </a:ln>
              <a:effectLst/>
            </c:spPr>
          </c:marker>
          <c:xVal>
            <c:numRef>
              <c:f>'Model validations (fig S2 S3)'!$H$7</c:f>
              <c:numCache>
                <c:formatCode>General</c:formatCode>
                <c:ptCount val="1"/>
                <c:pt idx="0">
                  <c:v>0.868521673501778</c:v>
                </c:pt>
              </c:numCache>
            </c:numRef>
          </c:xVal>
          <c:yVal>
            <c:numRef>
              <c:f>'Model validations (fig S2 S3)'!$I$7</c:f>
              <c:numCache>
                <c:formatCode>General</c:formatCode>
                <c:ptCount val="1"/>
                <c:pt idx="0">
                  <c:v>2.48827671936824</c:v>
                </c:pt>
              </c:numCache>
            </c:numRef>
          </c:yVal>
          <c:smooth val="0"/>
          <c:extLst>
            <c:ext xmlns:c16="http://schemas.microsoft.com/office/drawing/2014/chart" uri="{C3380CC4-5D6E-409C-BE32-E72D297353CC}">
              <c16:uniqueId val="{00000003-E834-4A32-AD9D-815CAEF711DF}"/>
            </c:ext>
          </c:extLst>
        </c:ser>
        <c:dLbls>
          <c:showLegendKey val="0"/>
          <c:showVal val="0"/>
          <c:showCatName val="0"/>
          <c:showSerName val="0"/>
          <c:showPercent val="0"/>
          <c:showBubbleSize val="0"/>
        </c:dLbls>
        <c:axId val="1130941375"/>
        <c:axId val="1130946367"/>
      </c:scatterChart>
      <c:valAx>
        <c:axId val="1130941375"/>
        <c:scaling>
          <c:orientation val="minMax"/>
          <c:max val="6"/>
          <c:min val="0"/>
        </c:scaling>
        <c:delete val="0"/>
        <c:axPos val="b"/>
        <c:majorGridlines>
          <c:spPr>
            <a:ln w="9525" cap="flat" cmpd="sng" algn="ctr">
              <a:noFill/>
              <a:round/>
            </a:ln>
            <a:effectLst/>
          </c:spPr>
        </c:majorGridlines>
        <c:title>
          <c:tx>
            <c:strRef>
              <c:f>'Model validations (fig S2 S3)'!$H$3</c:f>
              <c:strCache>
                <c:ptCount val="1"/>
                <c:pt idx="0">
                  <c:v>Simulated SOC change (MtC)</c:v>
                </c:pt>
              </c:strCache>
            </c:strRef>
          </c:tx>
          <c:layout>
            <c:manualLayout>
              <c:xMode val="edge"/>
              <c:yMode val="edge"/>
              <c:x val="0.21379040225308915"/>
              <c:y val="0.9291317330272985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cross"/>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130946367"/>
        <c:crosses val="autoZero"/>
        <c:crossBetween val="midCat"/>
        <c:majorUnit val="1"/>
      </c:valAx>
      <c:valAx>
        <c:axId val="1130946367"/>
        <c:scaling>
          <c:orientation val="minMax"/>
          <c:max val="6"/>
          <c:min val="0"/>
        </c:scaling>
        <c:delete val="0"/>
        <c:axPos val="l"/>
        <c:majorGridlines>
          <c:spPr>
            <a:ln w="9525" cap="flat" cmpd="sng" algn="ctr">
              <a:noFill/>
              <a:round/>
            </a:ln>
            <a:effectLst/>
          </c:spPr>
        </c:majorGridlines>
        <c:title>
          <c:tx>
            <c:strRef>
              <c:f>'Model validations (fig S2 S3)'!$I$3</c:f>
              <c:strCache>
                <c:ptCount val="1"/>
                <c:pt idx="0">
                  <c:v>Measured SOC change (MtC)</c:v>
                </c:pt>
              </c:strCache>
            </c:strRef>
          </c:tx>
          <c:layout>
            <c:manualLayout>
              <c:xMode val="edge"/>
              <c:yMode val="edge"/>
              <c:x val="1.4918789996756023E-2"/>
              <c:y val="0.1391137216147576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cross"/>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1130941375"/>
        <c:crosses val="autoZero"/>
        <c:crossBetween val="midCat"/>
      </c:valAx>
      <c:spPr>
        <a:noFill/>
        <a:ln>
          <a:noFill/>
        </a:ln>
        <a:effectLst/>
      </c:spPr>
    </c:plotArea>
    <c:legend>
      <c:legendPos val="b"/>
      <c:layout>
        <c:manualLayout>
          <c:xMode val="edge"/>
          <c:yMode val="edge"/>
          <c:x val="0.70305671060780328"/>
          <c:y val="2.6110853790335082E-2"/>
          <c:w val="0.28920603674540685"/>
          <c:h val="0.7332005058072195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1097280</xdr:colOff>
      <xdr:row>8</xdr:row>
      <xdr:rowOff>156210</xdr:rowOff>
    </xdr:from>
    <xdr:to>
      <xdr:col>11</xdr:col>
      <xdr:colOff>609600</xdr:colOff>
      <xdr:row>25</xdr:row>
      <xdr:rowOff>137160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893445</xdr:colOff>
      <xdr:row>29</xdr:row>
      <xdr:rowOff>142875</xdr:rowOff>
    </xdr:from>
    <xdr:to>
      <xdr:col>13</xdr:col>
      <xdr:colOff>102870</xdr:colOff>
      <xdr:row>52</xdr:row>
      <xdr:rowOff>15240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11</xdr:row>
      <xdr:rowOff>125730</xdr:rowOff>
    </xdr:from>
    <xdr:to>
      <xdr:col>7</xdr:col>
      <xdr:colOff>144780</xdr:colOff>
      <xdr:row>31</xdr:row>
      <xdr:rowOff>30480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350520</xdr:colOff>
      <xdr:row>11</xdr:row>
      <xdr:rowOff>160020</xdr:rowOff>
    </xdr:from>
    <xdr:to>
      <xdr:col>14</xdr:col>
      <xdr:colOff>228600</xdr:colOff>
      <xdr:row>32</xdr:row>
      <xdr:rowOff>83820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0.08708</cdr:x>
      <cdr:y>0.03957</cdr:y>
    </cdr:from>
    <cdr:to>
      <cdr:x>0.63624</cdr:x>
      <cdr:y>0.90588</cdr:y>
    </cdr:to>
    <cdr:cxnSp macro="">
      <cdr:nvCxnSpPr>
        <cdr:cNvPr id="3" name="Connecteur droit 2"/>
        <cdr:cNvCxnSpPr/>
      </cdr:nvCxnSpPr>
      <cdr:spPr>
        <a:xfrm xmlns:a="http://schemas.openxmlformats.org/drawingml/2006/main" flipV="1">
          <a:off x="472440" y="140970"/>
          <a:ext cx="2979420" cy="3086100"/>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0.08708</cdr:x>
      <cdr:y>0.03957</cdr:y>
    </cdr:from>
    <cdr:to>
      <cdr:x>0.63624</cdr:x>
      <cdr:y>0.90588</cdr:y>
    </cdr:to>
    <cdr:cxnSp macro="">
      <cdr:nvCxnSpPr>
        <cdr:cNvPr id="3" name="Connecteur droit 2"/>
        <cdr:cNvCxnSpPr/>
      </cdr:nvCxnSpPr>
      <cdr:spPr>
        <a:xfrm xmlns:a="http://schemas.openxmlformats.org/drawingml/2006/main" flipV="1">
          <a:off x="472440" y="140970"/>
          <a:ext cx="2979420" cy="3086100"/>
        </a:xfrm>
        <a:prstGeom xmlns:a="http://schemas.openxmlformats.org/drawingml/2006/main" prst="line">
          <a:avLst/>
        </a:prstGeom>
        <a:ln xmlns:a="http://schemas.openxmlformats.org/drawingml/2006/main" w="254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bellassen\Downloads\soil_carbon_in_invent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Categories"/>
      <sheetName val="Reporting quality"/>
      <sheetName val="Practices captured"/>
      <sheetName val="Estimates"/>
      <sheetName val="Cover_crops"/>
      <sheetName val="SD_IEF_CLCL"/>
      <sheetName val="Area_CLCL"/>
      <sheetName val="SD_IEF_GLGL"/>
      <sheetName val="Area_GLGL"/>
      <sheetName val="SD_IEF_FLFL"/>
      <sheetName val="Area_FLFL"/>
      <sheetName val="Area_WLWL"/>
      <sheetName val="Standard deviation of IEF (tC h"/>
      <sheetName val=" Grassland  Carbon stock change"/>
      <sheetName val=" Forest Land  Carbon stock ch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89" dT="2020-12-17T09:40:05.95" personId="{00000000-0000-0000-0000-000000000000}" id="{229563B0-0CF4-49E6-A635-43AC698ECB5E}">
    <text>T1 for organic  soils p.325 also --&gt;   "Conversion coefficients used are specific for Bulgaria and the ones given in the IPCC 2006 tables."</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A14" sqref="A14"/>
    </sheetView>
  </sheetViews>
  <sheetFormatPr baseColWidth="10" defaultRowHeight="14.4" x14ac:dyDescent="0.3"/>
  <cols>
    <col min="1" max="1" width="23.6640625" customWidth="1"/>
  </cols>
  <sheetData>
    <row r="1" spans="1:9" ht="18" x14ac:dyDescent="0.35">
      <c r="A1" s="136" t="s">
        <v>469</v>
      </c>
      <c r="B1" s="137"/>
      <c r="C1" s="137"/>
      <c r="D1" s="137"/>
      <c r="E1" s="137"/>
      <c r="F1" s="137"/>
      <c r="G1" s="137"/>
      <c r="H1" s="137"/>
      <c r="I1" s="137"/>
    </row>
    <row r="3" spans="1:9" x14ac:dyDescent="0.3">
      <c r="A3" t="s">
        <v>470</v>
      </c>
    </row>
    <row r="5" spans="1:9" x14ac:dyDescent="0.3">
      <c r="A5" t="s">
        <v>471</v>
      </c>
      <c r="B5" t="s">
        <v>472</v>
      </c>
    </row>
    <row r="6" spans="1:9" x14ac:dyDescent="0.3">
      <c r="A6" t="s">
        <v>473</v>
      </c>
      <c r="B6" t="s">
        <v>474</v>
      </c>
    </row>
    <row r="7" spans="1:9" x14ac:dyDescent="0.3">
      <c r="A7" t="s">
        <v>475</v>
      </c>
      <c r="B7" t="s">
        <v>476</v>
      </c>
    </row>
    <row r="8" spans="1:9" x14ac:dyDescent="0.3">
      <c r="A8" t="s">
        <v>477</v>
      </c>
      <c r="B8" t="s">
        <v>478</v>
      </c>
    </row>
    <row r="9" spans="1:9" x14ac:dyDescent="0.3">
      <c r="A9" t="s">
        <v>479</v>
      </c>
      <c r="B9" t="s">
        <v>480</v>
      </c>
    </row>
    <row r="10" spans="1:9" x14ac:dyDescent="0.3">
      <c r="A10" t="s">
        <v>483</v>
      </c>
      <c r="B10" t="s">
        <v>484</v>
      </c>
    </row>
    <row r="11" spans="1:9" x14ac:dyDescent="0.3">
      <c r="A11" t="s">
        <v>481</v>
      </c>
      <c r="B11" t="s">
        <v>482</v>
      </c>
    </row>
    <row r="12" spans="1:9" x14ac:dyDescent="0.3">
      <c r="A12" t="s">
        <v>485</v>
      </c>
      <c r="B12" s="76" t="s">
        <v>486</v>
      </c>
    </row>
    <row r="13" spans="1:9" x14ac:dyDescent="0.3">
      <c r="A13" t="s">
        <v>487</v>
      </c>
      <c r="B13" t="s">
        <v>488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workbookViewId="0">
      <pane xSplit="1" topLeftCell="B1" activePane="topRight" state="frozen"/>
      <selection pane="topRight" activeCell="C38" sqref="C38"/>
    </sheetView>
  </sheetViews>
  <sheetFormatPr baseColWidth="10" defaultColWidth="8.6640625" defaultRowHeight="14.4" x14ac:dyDescent="0.3"/>
  <cols>
    <col min="1" max="1" width="19.6640625" customWidth="1"/>
    <col min="2" max="3" width="14" customWidth="1"/>
    <col min="4" max="26" width="14" hidden="1" customWidth="1"/>
    <col min="27" max="30" width="14" customWidth="1"/>
    <col min="31" max="31" width="14" style="5" customWidth="1"/>
  </cols>
  <sheetData>
    <row r="1" spans="1:36" x14ac:dyDescent="0.3">
      <c r="A1" s="2" t="s">
        <v>202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F1" s="76"/>
      <c r="AG1" s="76"/>
      <c r="AH1" s="76"/>
      <c r="AI1" s="76"/>
      <c r="AJ1" s="76"/>
    </row>
    <row r="3" spans="1:36" x14ac:dyDescent="0.3">
      <c r="A3" s="76" t="s">
        <v>203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F3" s="76"/>
      <c r="AG3" s="76"/>
      <c r="AH3" s="76"/>
      <c r="AI3" s="76"/>
      <c r="AJ3" s="76"/>
    </row>
    <row r="4" spans="1:36" x14ac:dyDescent="0.3">
      <c r="A4" s="76" t="s">
        <v>126</v>
      </c>
      <c r="B4" s="76" t="s">
        <v>204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F4" s="76"/>
      <c r="AG4" s="76"/>
      <c r="AH4" s="76"/>
      <c r="AI4" s="76"/>
      <c r="AJ4" s="76"/>
    </row>
    <row r="5" spans="1:36" x14ac:dyDescent="0.3">
      <c r="A5" s="76" t="s">
        <v>3</v>
      </c>
      <c r="B5" s="76" t="s">
        <v>205</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F5" s="76"/>
      <c r="AG5" s="76"/>
      <c r="AH5" s="76"/>
      <c r="AI5" s="76"/>
      <c r="AJ5" s="76"/>
    </row>
    <row r="6" spans="1:36" x14ac:dyDescent="0.3">
      <c r="A6" s="76" t="s">
        <v>206</v>
      </c>
      <c r="B6" s="76" t="s">
        <v>207</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F6" s="76"/>
      <c r="AG6" s="76"/>
      <c r="AH6" s="76"/>
      <c r="AI6" s="76" t="s">
        <v>18</v>
      </c>
      <c r="AJ6" s="76"/>
    </row>
    <row r="8" spans="1:36" s="2" customFormat="1" x14ac:dyDescent="0.3">
      <c r="A8" s="2" t="s">
        <v>208</v>
      </c>
      <c r="B8" s="2" t="s">
        <v>209</v>
      </c>
      <c r="C8" s="2" t="s">
        <v>210</v>
      </c>
      <c r="D8" s="2" t="s">
        <v>211</v>
      </c>
      <c r="E8" s="2" t="s">
        <v>212</v>
      </c>
      <c r="F8" s="2" t="s">
        <v>213</v>
      </c>
      <c r="G8" s="2" t="s">
        <v>214</v>
      </c>
      <c r="H8" s="2" t="s">
        <v>215</v>
      </c>
      <c r="I8" s="2" t="s">
        <v>216</v>
      </c>
      <c r="J8" s="2" t="s">
        <v>217</v>
      </c>
      <c r="K8" s="2" t="s">
        <v>218</v>
      </c>
      <c r="L8" s="2" t="s">
        <v>219</v>
      </c>
      <c r="M8" s="2" t="s">
        <v>220</v>
      </c>
      <c r="N8" s="2" t="s">
        <v>221</v>
      </c>
      <c r="O8" s="2" t="s">
        <v>222</v>
      </c>
      <c r="P8" s="2" t="s">
        <v>223</v>
      </c>
      <c r="Q8" s="2" t="s">
        <v>224</v>
      </c>
      <c r="R8" s="2" t="s">
        <v>225</v>
      </c>
      <c r="S8" s="2" t="s">
        <v>226</v>
      </c>
      <c r="T8" s="2" t="s">
        <v>227</v>
      </c>
      <c r="U8" s="2" t="s">
        <v>228</v>
      </c>
      <c r="V8" s="2" t="s">
        <v>229</v>
      </c>
      <c r="W8" s="2" t="s">
        <v>230</v>
      </c>
      <c r="X8" s="2" t="s">
        <v>231</v>
      </c>
      <c r="Y8" s="2" t="s">
        <v>232</v>
      </c>
      <c r="Z8" s="2" t="s">
        <v>233</v>
      </c>
      <c r="AA8" s="2" t="s">
        <v>234</v>
      </c>
      <c r="AB8" s="2" t="s">
        <v>235</v>
      </c>
      <c r="AC8" s="2" t="s">
        <v>164</v>
      </c>
      <c r="AD8" s="2" t="s">
        <v>236</v>
      </c>
      <c r="AE8" s="6" t="s">
        <v>237</v>
      </c>
      <c r="AF8" s="2" t="s">
        <v>238</v>
      </c>
      <c r="AG8" s="2" t="s">
        <v>239</v>
      </c>
      <c r="AH8" s="2" t="s">
        <v>72</v>
      </c>
      <c r="AI8" s="2" t="s">
        <v>16</v>
      </c>
      <c r="AJ8" s="2" t="s">
        <v>240</v>
      </c>
    </row>
    <row r="9" spans="1:36" x14ac:dyDescent="0.3">
      <c r="A9" s="76" t="s">
        <v>241</v>
      </c>
      <c r="B9" s="74">
        <v>-0.13038356980273</v>
      </c>
      <c r="C9" s="74">
        <v>-0.13038356980273</v>
      </c>
      <c r="D9" s="74">
        <v>-9.8266465685489995E-2</v>
      </c>
      <c r="E9" s="74">
        <v>-4.593876387049E-2</v>
      </c>
      <c r="F9" s="74">
        <v>-4.9486067005749999E-2</v>
      </c>
      <c r="G9" s="74">
        <v>-3.4574319537799998E-2</v>
      </c>
      <c r="H9" s="74">
        <v>1.8054656932599999E-2</v>
      </c>
      <c r="I9" s="74">
        <v>1.538560307709E-2</v>
      </c>
      <c r="J9" s="74">
        <v>8.4379806282800004E-3</v>
      </c>
      <c r="K9" s="74">
        <v>5.8114985405180002E-2</v>
      </c>
      <c r="L9" s="74">
        <v>6.1919445861069997E-2</v>
      </c>
      <c r="M9" s="74">
        <v>5.5391243163000002E-2</v>
      </c>
      <c r="N9" s="74">
        <v>4.0844018217220002E-2</v>
      </c>
      <c r="O9" s="74">
        <v>5.0005309979049999E-2</v>
      </c>
      <c r="P9" s="74">
        <v>2.2112957480420001E-2</v>
      </c>
      <c r="Q9" s="74">
        <v>2.8691607453829999E-2</v>
      </c>
      <c r="R9" s="74">
        <v>-1.9782352434199998E-2</v>
      </c>
      <c r="S9" s="74">
        <v>-2.8994652358900002E-3</v>
      </c>
      <c r="T9" s="74">
        <v>-2.3526789564859998E-2</v>
      </c>
      <c r="U9" s="74">
        <v>-2.6959684745279999E-2</v>
      </c>
      <c r="V9" s="74">
        <v>-4.7142258829110002E-2</v>
      </c>
      <c r="W9" s="74">
        <v>-7.1894449960300004E-3</v>
      </c>
      <c r="X9" s="74">
        <v>-1.5880107022840002E-2</v>
      </c>
      <c r="Y9" s="74">
        <v>-2.2543737670430001E-2</v>
      </c>
      <c r="Z9" s="74">
        <v>-8.5090869119000007E-3</v>
      </c>
      <c r="AA9" s="74">
        <v>-1.6888277713120001E-2</v>
      </c>
      <c r="AB9" s="74">
        <v>4.78424910235E-3</v>
      </c>
      <c r="AC9" s="74">
        <v>2.647003533233E-2</v>
      </c>
      <c r="AD9" s="74">
        <v>2.7793703782359999E-2</v>
      </c>
      <c r="AE9" s="7">
        <v>2.5952568807880001E-2</v>
      </c>
      <c r="AF9" s="76"/>
      <c r="AG9" s="76">
        <f>IF(ISERR(SEARCH("IE",AE9)),STDEVA(C9:AE9),0.03)</f>
        <v>4.4585159847751001E-2</v>
      </c>
      <c r="AH9" s="76"/>
      <c r="AI9" s="76" t="str">
        <f ca="1">IFERROR(VLOOKUP(AJ9,INDIRECT("Area_"&amp;$AI$6&amp;"!$A$5:$E$51",TRUE),2),"")</f>
        <v/>
      </c>
      <c r="AJ9" s="76"/>
    </row>
    <row r="10" spans="1:36" x14ac:dyDescent="0.3">
      <c r="A10" s="76" t="s">
        <v>242</v>
      </c>
      <c r="B10" s="74">
        <v>8.1695862689999999E-5</v>
      </c>
      <c r="C10" s="74">
        <v>8.1695862689999999E-5</v>
      </c>
      <c r="D10" s="74">
        <v>8.0407816530000004E-5</v>
      </c>
      <c r="E10" s="74">
        <v>8.0568541169999999E-5</v>
      </c>
      <c r="F10" s="74">
        <v>8.1315397800000002E-5</v>
      </c>
      <c r="G10" s="74">
        <v>8.0978473019999996E-5</v>
      </c>
      <c r="H10" s="74">
        <v>7.1220726735700002E-3</v>
      </c>
      <c r="I10" s="74">
        <v>1.317682447659E-2</v>
      </c>
      <c r="J10" s="74">
        <v>1.916764779898E-2</v>
      </c>
      <c r="K10" s="74">
        <v>2.5365114864019999E-2</v>
      </c>
      <c r="L10" s="74">
        <v>3.1646968063799998E-2</v>
      </c>
      <c r="M10" s="74">
        <v>3.813857343602E-2</v>
      </c>
      <c r="N10" s="74">
        <v>5.3461216261339997E-2</v>
      </c>
      <c r="O10" s="74">
        <v>6.0923636884439997E-2</v>
      </c>
      <c r="P10" s="74">
        <v>6.0983315430740002E-2</v>
      </c>
      <c r="Q10" s="74">
        <v>6.0821988155529999E-2</v>
      </c>
      <c r="R10" s="74">
        <v>5.9679043782960003E-2</v>
      </c>
      <c r="S10" s="74">
        <v>5.8059481690509999E-2</v>
      </c>
      <c r="T10" s="74">
        <v>6.150114858222E-2</v>
      </c>
      <c r="U10" s="74">
        <v>6.0877837072359997E-2</v>
      </c>
      <c r="V10" s="74">
        <v>6.0111039954689999E-2</v>
      </c>
      <c r="W10" s="74">
        <v>6.0030147023990003E-2</v>
      </c>
      <c r="X10" s="74">
        <v>5.9430723433400001E-2</v>
      </c>
      <c r="Y10" s="74">
        <v>5.9033696031849998E-2</v>
      </c>
      <c r="Z10" s="74">
        <v>5.8016493726090003E-2</v>
      </c>
      <c r="AA10" s="74">
        <v>5.6060309153719998E-2</v>
      </c>
      <c r="AB10" s="74">
        <v>4.547014205687E-2</v>
      </c>
      <c r="AC10" s="74">
        <v>4.0050144213959998E-2</v>
      </c>
      <c r="AD10" s="74">
        <v>3.42945477348E-2</v>
      </c>
      <c r="AE10" s="7">
        <v>2.781362113119E-2</v>
      </c>
      <c r="AF10" s="20">
        <f>STDEVA(C10:AE10)/ABS(AVERAGE(C10:AE10))</f>
        <v>0.62072702325652029</v>
      </c>
      <c r="AG10" s="76">
        <f t="shared" ref="AG10:AG57" si="0">IF(ISERR(SEARCH("IE",AE10)),STDEVA(C10:AE10),0.03)</f>
        <v>2.3793980085206945E-2</v>
      </c>
      <c r="AH10" s="76">
        <f>IFERROR(VLOOKUP(AJ10,Area_CLCL!$A$5:$E$51,5),"")</f>
        <v>1</v>
      </c>
      <c r="AI10" s="76">
        <f ca="1">IFERROR(VLOOKUP(AJ10,INDIRECT("Area_"&amp;$AI$6&amp;"!$A$5:$E$51",TRUE),2),"")</f>
        <v>1344.22</v>
      </c>
      <c r="AJ10" s="76" t="s">
        <v>17</v>
      </c>
    </row>
    <row r="11" spans="1:36" x14ac:dyDescent="0.3">
      <c r="A11" s="76" t="s">
        <v>243</v>
      </c>
      <c r="B11" s="76" t="s">
        <v>50</v>
      </c>
      <c r="C11" s="76" t="s">
        <v>50</v>
      </c>
      <c r="D11" s="76" t="s">
        <v>50</v>
      </c>
      <c r="E11" s="76" t="s">
        <v>50</v>
      </c>
      <c r="F11" s="76" t="s">
        <v>50</v>
      </c>
      <c r="G11" s="76" t="s">
        <v>50</v>
      </c>
      <c r="H11" s="76" t="s">
        <v>50</v>
      </c>
      <c r="I11" s="76" t="s">
        <v>50</v>
      </c>
      <c r="J11" s="76" t="s">
        <v>50</v>
      </c>
      <c r="K11" s="76" t="s">
        <v>50</v>
      </c>
      <c r="L11" s="76" t="s">
        <v>50</v>
      </c>
      <c r="M11" s="76" t="s">
        <v>50</v>
      </c>
      <c r="N11" s="76" t="s">
        <v>50</v>
      </c>
      <c r="O11" s="76" t="s">
        <v>50</v>
      </c>
      <c r="P11" s="76" t="s">
        <v>50</v>
      </c>
      <c r="Q11" s="76" t="s">
        <v>50</v>
      </c>
      <c r="R11" s="76" t="s">
        <v>50</v>
      </c>
      <c r="S11" s="76" t="s">
        <v>50</v>
      </c>
      <c r="T11" s="76" t="s">
        <v>50</v>
      </c>
      <c r="U11" s="76" t="s">
        <v>50</v>
      </c>
      <c r="V11" s="76" t="s">
        <v>50</v>
      </c>
      <c r="W11" s="76" t="s">
        <v>50</v>
      </c>
      <c r="X11" s="76" t="s">
        <v>50</v>
      </c>
      <c r="Y11" s="76" t="s">
        <v>50</v>
      </c>
      <c r="Z11" s="76" t="s">
        <v>50</v>
      </c>
      <c r="AA11" s="76" t="s">
        <v>50</v>
      </c>
      <c r="AB11" s="76" t="s">
        <v>50</v>
      </c>
      <c r="AC11" s="76" t="s">
        <v>50</v>
      </c>
      <c r="AD11" s="76" t="s">
        <v>50</v>
      </c>
      <c r="AE11" s="5" t="s">
        <v>50</v>
      </c>
      <c r="AF11" s="20" t="e">
        <f t="shared" ref="AF11:AF51" si="1">STDEVA(C11:AE11)/ABS(AVERAGE(C11:AE11))</f>
        <v>#DIV/0!</v>
      </c>
      <c r="AG11" s="76">
        <f t="shared" si="0"/>
        <v>0</v>
      </c>
      <c r="AH11" s="76" t="str">
        <f>IFERROR(VLOOKUP(AJ11,Area_CLCL!$A$5:$E$51,5),"")</f>
        <v/>
      </c>
      <c r="AI11" s="76" t="str">
        <f t="shared" ref="AI11:AI57" ca="1" si="2">IFERROR(VLOOKUP(AJ11,INDIRECT("Area_"&amp;$AI$6&amp;"!$A$5:$E$51",TRUE),2),"")</f>
        <v/>
      </c>
      <c r="AJ11" s="76"/>
    </row>
    <row r="12" spans="1:36" x14ac:dyDescent="0.3">
      <c r="A12" s="76" t="s">
        <v>244</v>
      </c>
      <c r="B12" s="74">
        <v>-4.0932627580230002E-2</v>
      </c>
      <c r="C12" s="74">
        <v>-4.0932627580230002E-2</v>
      </c>
      <c r="D12" s="74">
        <v>-4.0955935175149998E-2</v>
      </c>
      <c r="E12" s="74">
        <v>-4.0979489527450001E-2</v>
      </c>
      <c r="F12" s="74">
        <v>-4.1003294576619997E-2</v>
      </c>
      <c r="G12" s="74">
        <v>-4.1027354346439997E-2</v>
      </c>
      <c r="H12" s="74">
        <v>-4.1051672947290001E-2</v>
      </c>
      <c r="I12" s="74">
        <v>-4.1076254578429998E-2</v>
      </c>
      <c r="J12" s="74">
        <v>-4.1101103530489999E-2</v>
      </c>
      <c r="K12" s="74">
        <v>-4.1126224187899997E-2</v>
      </c>
      <c r="L12" s="74">
        <v>-4.1151621031520001E-2</v>
      </c>
      <c r="M12" s="74">
        <v>-4.1177298641259998E-2</v>
      </c>
      <c r="N12" s="74">
        <v>-4.120326169888E-2</v>
      </c>
      <c r="O12" s="74">
        <v>-4.1229514990799999E-2</v>
      </c>
      <c r="P12" s="74">
        <v>-4.1256063411050002E-2</v>
      </c>
      <c r="Q12" s="74">
        <v>-4.1282911964330003E-2</v>
      </c>
      <c r="R12" s="74">
        <v>-4.1310065769130003E-2</v>
      </c>
      <c r="S12" s="74">
        <v>-4.1337530060990002E-2</v>
      </c>
      <c r="T12" s="74">
        <v>-4.1365310195870003E-2</v>
      </c>
      <c r="U12" s="74">
        <v>-4.139341165365E-2</v>
      </c>
      <c r="V12" s="74">
        <v>-4.1420691644229998E-2</v>
      </c>
      <c r="W12" s="74">
        <v>-4.1212957623419998E-2</v>
      </c>
      <c r="X12" s="74">
        <v>-4.1065212181730003E-2</v>
      </c>
      <c r="Y12" s="74">
        <v>-4.0916987411469999E-2</v>
      </c>
      <c r="Z12" s="74">
        <v>-4.0752603035990001E-2</v>
      </c>
      <c r="AA12" s="74">
        <v>-4.0589290860780003E-2</v>
      </c>
      <c r="AB12" s="74">
        <v>-4.0425870176299998E-2</v>
      </c>
      <c r="AC12" s="74">
        <v>-4.025577290764E-2</v>
      </c>
      <c r="AD12" s="74">
        <v>-4.008546975413E-2</v>
      </c>
      <c r="AE12" s="7">
        <v>-3.9914960341760002E-2</v>
      </c>
      <c r="AF12" s="20">
        <f t="shared" si="1"/>
        <v>9.4378325858914709E-3</v>
      </c>
      <c r="AG12" s="76">
        <f t="shared" si="0"/>
        <v>3.8682120694406879E-4</v>
      </c>
      <c r="AH12" s="76">
        <f>IFERROR(VLOOKUP(AJ12,Area_CLCL!$A$5:$E$51,5),"")</f>
        <v>1</v>
      </c>
      <c r="AI12" s="76">
        <f t="shared" ca="1" si="2"/>
        <v>850.73</v>
      </c>
      <c r="AJ12" s="76" t="s">
        <v>26</v>
      </c>
    </row>
    <row r="13" spans="1:36" x14ac:dyDescent="0.3">
      <c r="A13" s="76" t="s">
        <v>245</v>
      </c>
      <c r="B13" s="74">
        <v>5.7398440332770001E-2</v>
      </c>
      <c r="C13" s="74">
        <v>5.752559057632E-2</v>
      </c>
      <c r="D13" s="74">
        <v>5.7479122488650003E-2</v>
      </c>
      <c r="E13" s="74">
        <v>5.7050184211929998E-2</v>
      </c>
      <c r="F13" s="74">
        <v>5.5863168016469997E-2</v>
      </c>
      <c r="G13" s="74">
        <v>5.4891252917100002E-2</v>
      </c>
      <c r="H13" s="74">
        <v>5.4486899748720001E-2</v>
      </c>
      <c r="I13" s="74">
        <v>5.4381108058090002E-2</v>
      </c>
      <c r="J13" s="74">
        <v>5.4385277550949997E-2</v>
      </c>
      <c r="K13" s="74">
        <v>5.5231874262079997E-2</v>
      </c>
      <c r="L13" s="74">
        <v>5.5012628134209998E-2</v>
      </c>
      <c r="M13" s="74">
        <v>5.6534828497090003E-2</v>
      </c>
      <c r="N13" s="74">
        <v>5.6160934124380002E-2</v>
      </c>
      <c r="O13" s="74">
        <v>5.510419951224E-2</v>
      </c>
      <c r="P13" s="74">
        <v>5.508697024657E-2</v>
      </c>
      <c r="Q13" s="74">
        <v>5.5125974558800001E-2</v>
      </c>
      <c r="R13" s="74">
        <v>5.4309269774670002E-2</v>
      </c>
      <c r="S13" s="74">
        <v>5.4072514466960001E-2</v>
      </c>
      <c r="T13" s="74">
        <v>5.4428233182929997E-2</v>
      </c>
      <c r="U13" s="74">
        <v>5.4177959310280001E-2</v>
      </c>
      <c r="V13" s="74">
        <v>5.3318319901760003E-2</v>
      </c>
      <c r="W13" s="74">
        <v>5.3188090273329998E-2</v>
      </c>
      <c r="X13" s="74">
        <v>5.294220310219E-2</v>
      </c>
      <c r="Y13" s="74">
        <v>5.2791830573780001E-2</v>
      </c>
      <c r="Z13" s="74">
        <v>5.1520187213990001E-2</v>
      </c>
      <c r="AA13" s="74">
        <v>5.1123877942080002E-2</v>
      </c>
      <c r="AB13" s="74">
        <v>5.1401185942289998E-2</v>
      </c>
      <c r="AC13" s="74">
        <v>5.1741481855559997E-2</v>
      </c>
      <c r="AD13" s="74">
        <v>5.2079922669780003E-2</v>
      </c>
      <c r="AE13" s="7">
        <v>5.2325090783629999E-2</v>
      </c>
      <c r="AF13" s="20">
        <f t="shared" si="1"/>
        <v>3.3158705529581868E-2</v>
      </c>
      <c r="AG13" s="76">
        <f t="shared" si="0"/>
        <v>1.7994202484575923E-3</v>
      </c>
      <c r="AH13" s="76">
        <f>IFERROR(VLOOKUP(AJ13,Area_CLCL!$A$5:$E$51,5),"")</f>
        <v>1</v>
      </c>
      <c r="AI13" s="76">
        <f t="shared" ca="1" si="2"/>
        <v>3336.95</v>
      </c>
      <c r="AJ13" s="76" t="s">
        <v>64</v>
      </c>
    </row>
    <row r="14" spans="1:36" x14ac:dyDescent="0.3">
      <c r="A14" s="76" t="s">
        <v>246</v>
      </c>
      <c r="B14" s="74">
        <v>7.5800471183900004E-3</v>
      </c>
      <c r="C14" s="74">
        <v>7.5800471183900004E-3</v>
      </c>
      <c r="D14" s="74">
        <v>1.016293299611E-2</v>
      </c>
      <c r="E14" s="74">
        <v>1.5444553607899999E-2</v>
      </c>
      <c r="F14" s="74">
        <v>2.0497351426020001E-2</v>
      </c>
      <c r="G14" s="74">
        <v>2.53574750777E-2</v>
      </c>
      <c r="H14" s="74">
        <v>3.0039177313400001E-2</v>
      </c>
      <c r="I14" s="74">
        <v>3.4554267085879997E-2</v>
      </c>
      <c r="J14" s="74">
        <v>4.1390088149529998E-2</v>
      </c>
      <c r="K14" s="74">
        <v>4.8041066103779999E-2</v>
      </c>
      <c r="L14" s="74">
        <v>5.4440063692629999E-2</v>
      </c>
      <c r="M14" s="74">
        <v>6.0631550623859998E-2</v>
      </c>
      <c r="N14" s="74">
        <v>6.6542837621960005E-2</v>
      </c>
      <c r="O14" s="74">
        <v>7.3311095521299996E-2</v>
      </c>
      <c r="P14" s="74">
        <v>7.9771287850860004E-2</v>
      </c>
      <c r="Q14" s="74">
        <v>8.5928772992449998E-2</v>
      </c>
      <c r="R14" s="74">
        <v>9.1790128321500006E-2</v>
      </c>
      <c r="S14" s="74">
        <v>9.7444241993479994E-2</v>
      </c>
      <c r="T14" s="74">
        <v>9.7560650974339996E-2</v>
      </c>
      <c r="U14" s="74">
        <v>9.7606729293120004E-2</v>
      </c>
      <c r="V14" s="74">
        <v>9.7616618057199997E-2</v>
      </c>
      <c r="W14" s="74">
        <v>9.7531342240530006E-2</v>
      </c>
      <c r="X14" s="74">
        <v>9.7547892041870005E-2</v>
      </c>
      <c r="Y14" s="74">
        <v>9.1554341997219998E-2</v>
      </c>
      <c r="Z14" s="74">
        <v>8.5876154969129995E-2</v>
      </c>
      <c r="AA14" s="74">
        <v>8.0322169963589998E-2</v>
      </c>
      <c r="AB14" s="74">
        <v>7.4879676819699995E-2</v>
      </c>
      <c r="AC14" s="74">
        <v>6.9537428170989998E-2</v>
      </c>
      <c r="AD14" s="74">
        <v>6.4314350259549999E-2</v>
      </c>
      <c r="AE14" s="7">
        <v>5.9234131408010003E-2</v>
      </c>
      <c r="AF14" s="20">
        <f t="shared" si="1"/>
        <v>0.46431797520830753</v>
      </c>
      <c r="AG14" s="76">
        <f t="shared" si="0"/>
        <v>2.9724490767097798E-2</v>
      </c>
      <c r="AH14" s="76" t="str">
        <f>IFERROR(VLOOKUP(AJ14,Area_CLCL!$A$5:$E$51,5),"")</f>
        <v/>
      </c>
      <c r="AI14" s="76" t="str">
        <f t="shared" ca="1" si="2"/>
        <v/>
      </c>
      <c r="AJ14" s="76"/>
    </row>
    <row r="15" spans="1:36" x14ac:dyDescent="0.3">
      <c r="A15" s="76" t="s">
        <v>247</v>
      </c>
      <c r="B15" s="74">
        <v>2.6250511133000002E-4</v>
      </c>
      <c r="C15" s="74">
        <v>2.6250511133000002E-4</v>
      </c>
      <c r="D15" s="74">
        <v>2.8978926117E-4</v>
      </c>
      <c r="E15" s="74">
        <v>3.1723083746999997E-4</v>
      </c>
      <c r="F15" s="74">
        <v>3.4486029693000001E-4</v>
      </c>
      <c r="G15" s="74">
        <v>3.7263173962999999E-4</v>
      </c>
      <c r="H15" s="74">
        <v>4.00573417E-4</v>
      </c>
      <c r="I15" s="74">
        <v>4.2869639967000001E-4</v>
      </c>
      <c r="J15" s="74">
        <v>4.5593676396000002E-4</v>
      </c>
      <c r="K15" s="74">
        <v>4.8325411361000001E-4</v>
      </c>
      <c r="L15" s="74">
        <v>5.1067041060000003E-4</v>
      </c>
      <c r="M15" s="74">
        <v>5.3814834414999996E-4</v>
      </c>
      <c r="N15" s="74">
        <v>5.6639829345000005E-4</v>
      </c>
      <c r="O15" s="74">
        <v>5.9480350586999995E-4</v>
      </c>
      <c r="P15" s="74">
        <v>6.2337083223000002E-4</v>
      </c>
      <c r="Q15" s="74">
        <v>6.5202715427E-4</v>
      </c>
      <c r="R15" s="74">
        <v>6.8088620775999997E-4</v>
      </c>
      <c r="S15" s="74">
        <v>7.0981355159000002E-4</v>
      </c>
      <c r="T15" s="74">
        <v>-1.08752643554E-3</v>
      </c>
      <c r="U15" s="74">
        <v>-2.9010609705800001E-3</v>
      </c>
      <c r="V15" s="74">
        <v>-4.7388913731499999E-3</v>
      </c>
      <c r="W15" s="74">
        <v>-6.6007813579899996E-3</v>
      </c>
      <c r="X15" s="74">
        <v>-8.5176323562099997E-3</v>
      </c>
      <c r="Y15" s="74">
        <v>-1.045273825177E-2</v>
      </c>
      <c r="Z15" s="74">
        <v>-1.049963983067E-2</v>
      </c>
      <c r="AA15" s="74">
        <v>-1.0555920896629999E-2</v>
      </c>
      <c r="AB15" s="74">
        <v>-1.0598399365009999E-2</v>
      </c>
      <c r="AC15" s="74">
        <v>-1.060613872828E-2</v>
      </c>
      <c r="AD15" s="74">
        <v>-1.0631847450539999E-2</v>
      </c>
      <c r="AE15" s="7">
        <v>-1.0633311431489999E-2</v>
      </c>
      <c r="AF15" s="20">
        <f t="shared" si="1"/>
        <v>1.5685939313247819</v>
      </c>
      <c r="AG15" s="76">
        <f t="shared" si="0"/>
        <v>4.8459974430911526E-3</v>
      </c>
      <c r="AH15" s="76">
        <f>IFERROR(VLOOKUP(AJ15,Area_CLCL!$A$5:$E$51,5),"")</f>
        <v>1</v>
      </c>
      <c r="AI15" s="76">
        <f t="shared" ca="1" si="2"/>
        <v>1486.1</v>
      </c>
      <c r="AJ15" s="76" t="s">
        <v>29</v>
      </c>
    </row>
    <row r="16" spans="1:36" x14ac:dyDescent="0.3">
      <c r="A16" s="76" t="s">
        <v>248</v>
      </c>
      <c r="B16" s="76" t="s">
        <v>23</v>
      </c>
      <c r="C16" s="76" t="s">
        <v>23</v>
      </c>
      <c r="D16" s="76" t="s">
        <v>23</v>
      </c>
      <c r="E16" s="76" t="s">
        <v>23</v>
      </c>
      <c r="F16" s="76" t="s">
        <v>23</v>
      </c>
      <c r="G16" s="76" t="s">
        <v>23</v>
      </c>
      <c r="H16" s="76" t="s">
        <v>23</v>
      </c>
      <c r="I16" s="76" t="s">
        <v>23</v>
      </c>
      <c r="J16" s="76" t="s">
        <v>23</v>
      </c>
      <c r="K16" s="76" t="s">
        <v>23</v>
      </c>
      <c r="L16" s="76" t="s">
        <v>23</v>
      </c>
      <c r="M16" s="76" t="s">
        <v>23</v>
      </c>
      <c r="N16" s="76" t="s">
        <v>23</v>
      </c>
      <c r="O16" s="76" t="s">
        <v>23</v>
      </c>
      <c r="P16" s="76" t="s">
        <v>23</v>
      </c>
      <c r="Q16" s="76" t="s">
        <v>23</v>
      </c>
      <c r="R16" s="76" t="s">
        <v>23</v>
      </c>
      <c r="S16" s="76" t="s">
        <v>23</v>
      </c>
      <c r="T16" s="76" t="s">
        <v>23</v>
      </c>
      <c r="U16" s="76" t="s">
        <v>23</v>
      </c>
      <c r="V16" s="76" t="s">
        <v>23</v>
      </c>
      <c r="W16" s="76" t="s">
        <v>23</v>
      </c>
      <c r="X16" s="76" t="s">
        <v>23</v>
      </c>
      <c r="Y16" s="76" t="s">
        <v>23</v>
      </c>
      <c r="Z16" s="76" t="s">
        <v>23</v>
      </c>
      <c r="AA16" s="76" t="s">
        <v>23</v>
      </c>
      <c r="AB16" s="76" t="s">
        <v>23</v>
      </c>
      <c r="AC16" s="76" t="s">
        <v>23</v>
      </c>
      <c r="AD16" s="76" t="s">
        <v>23</v>
      </c>
      <c r="AE16" s="5" t="s">
        <v>23</v>
      </c>
      <c r="AF16" s="20" t="e">
        <f t="shared" si="1"/>
        <v>#DIV/0!</v>
      </c>
      <c r="AG16" s="76">
        <f t="shared" si="0"/>
        <v>0</v>
      </c>
      <c r="AH16" s="76">
        <f>IFERROR(VLOOKUP(AJ16,Area_CLCL!$A$5:$E$51,5),"")</f>
        <v>1</v>
      </c>
      <c r="AI16" s="76">
        <f t="shared" ca="1" si="2"/>
        <v>240.98</v>
      </c>
      <c r="AJ16" s="76" t="s">
        <v>60</v>
      </c>
    </row>
    <row r="17" spans="1:36" x14ac:dyDescent="0.3">
      <c r="A17" s="76" t="s">
        <v>249</v>
      </c>
      <c r="B17" s="74">
        <v>-7.3642142520999997E-3</v>
      </c>
      <c r="C17" s="74">
        <v>-7.3642142520999997E-3</v>
      </c>
      <c r="D17" s="74">
        <v>-1.4124871146020001E-2</v>
      </c>
      <c r="E17" s="74">
        <v>-1.077338985511E-2</v>
      </c>
      <c r="F17" s="74">
        <v>-7.8554029255599993E-3</v>
      </c>
      <c r="G17" s="74">
        <v>-7.3519137681199997E-3</v>
      </c>
      <c r="H17" s="74">
        <v>-7.3950937789500001E-3</v>
      </c>
      <c r="I17" s="74">
        <v>-9.7135590461700002E-3</v>
      </c>
      <c r="J17" s="74">
        <v>-8.68095663015E-3</v>
      </c>
      <c r="K17" s="74">
        <v>-7.9232250393699993E-3</v>
      </c>
      <c r="L17" s="74">
        <v>-7.3087875204499997E-3</v>
      </c>
      <c r="M17" s="74">
        <v>-7.4887907554300002E-3</v>
      </c>
      <c r="N17" s="74">
        <v>-7.1723202751299998E-3</v>
      </c>
      <c r="O17" s="74">
        <v>-6.9114425582799998E-3</v>
      </c>
      <c r="P17" s="74">
        <v>-6.7404374237700002E-3</v>
      </c>
      <c r="Q17" s="74">
        <v>-7.6878748346500001E-3</v>
      </c>
      <c r="R17" s="74">
        <v>-7.5752257040600001E-3</v>
      </c>
      <c r="S17" s="74">
        <v>-7.4703786261999996E-3</v>
      </c>
      <c r="T17" s="74">
        <v>-7.5416648034500001E-3</v>
      </c>
      <c r="U17" s="74">
        <v>-7.36215654569E-3</v>
      </c>
      <c r="V17" s="74">
        <v>-7.2621150748400001E-3</v>
      </c>
      <c r="W17" s="74">
        <v>-7.0743729145099996E-3</v>
      </c>
      <c r="X17" s="74">
        <v>-6.41007105756E-3</v>
      </c>
      <c r="Y17" s="74">
        <v>-6.4588687204899997E-3</v>
      </c>
      <c r="Z17" s="74">
        <v>-6.8127712558899997E-3</v>
      </c>
      <c r="AA17" s="74">
        <v>-6.7818296435500003E-3</v>
      </c>
      <c r="AB17" s="74">
        <v>-6.5058398949099996E-3</v>
      </c>
      <c r="AC17" s="74">
        <v>-5.4826224455000001E-3</v>
      </c>
      <c r="AD17" s="74">
        <v>-5.5102326450200004E-3</v>
      </c>
      <c r="AE17" s="7">
        <v>-4.9856441112499997E-3</v>
      </c>
      <c r="AF17" s="20">
        <f t="shared" si="1"/>
        <v>0.22685139974541624</v>
      </c>
      <c r="AG17" s="76">
        <f t="shared" si="0"/>
        <v>1.7031539475286231E-3</v>
      </c>
      <c r="AH17" s="76">
        <f>IFERROR(VLOOKUP(AJ17,Area_CLCL!$A$5:$E$51,5),"")</f>
        <v>1</v>
      </c>
      <c r="AI17" s="76">
        <f t="shared" ca="1" si="2"/>
        <v>3166.99</v>
      </c>
      <c r="AJ17" s="76" t="s">
        <v>62</v>
      </c>
    </row>
    <row r="18" spans="1:36" x14ac:dyDescent="0.3">
      <c r="A18" s="76" t="s">
        <v>250</v>
      </c>
      <c r="B18" s="74">
        <v>-4.4306975552450001E-2</v>
      </c>
      <c r="C18" s="74">
        <v>-4.4306975552450001E-2</v>
      </c>
      <c r="D18" s="74">
        <v>3.075680155738E-2</v>
      </c>
      <c r="E18" s="74">
        <v>-8.4613223106979996E-2</v>
      </c>
      <c r="F18" s="74">
        <v>8.5740837964299998E-3</v>
      </c>
      <c r="G18" s="74">
        <v>6.4189770036629998E-2</v>
      </c>
      <c r="H18" s="74">
        <v>5.2404103750390001E-2</v>
      </c>
      <c r="I18" s="74">
        <v>0.10564425579884</v>
      </c>
      <c r="J18" s="74">
        <v>7.6096575932960001E-2</v>
      </c>
      <c r="K18" s="74">
        <v>7.8648939881609994E-2</v>
      </c>
      <c r="L18" s="74">
        <v>5.4346710896309998E-2</v>
      </c>
      <c r="M18" s="74">
        <v>3.9214710934819999E-2</v>
      </c>
      <c r="N18" s="74">
        <v>0.10282945550417</v>
      </c>
      <c r="O18" s="74">
        <v>-3.6305640389999998E-4</v>
      </c>
      <c r="P18" s="74">
        <v>2.0535880645019999E-2</v>
      </c>
      <c r="Q18" s="74">
        <v>4.012540436881E-2</v>
      </c>
      <c r="R18" s="74">
        <v>6.1611401798150001E-2</v>
      </c>
      <c r="S18" s="74">
        <v>1.7539814230970001E-2</v>
      </c>
      <c r="T18" s="74">
        <v>-5.2708212123810001E-2</v>
      </c>
      <c r="U18" s="74">
        <v>3.0706358597999998E-4</v>
      </c>
      <c r="V18" s="74">
        <v>6.4461571037939994E-2</v>
      </c>
      <c r="W18" s="74">
        <v>0.11587006801921999</v>
      </c>
      <c r="X18" s="74">
        <v>6.1848536692060002E-2</v>
      </c>
      <c r="Y18" s="74">
        <v>6.4864500111490003E-2</v>
      </c>
      <c r="Z18" s="74">
        <v>9.0617919279490006E-2</v>
      </c>
      <c r="AA18" s="74">
        <v>1.318424453244E-2</v>
      </c>
      <c r="AB18" s="74">
        <v>7.0242852107109996E-2</v>
      </c>
      <c r="AC18" s="74">
        <v>3.0378226123580002E-2</v>
      </c>
      <c r="AD18" s="74">
        <v>7.2198928188509995E-2</v>
      </c>
      <c r="AE18" s="7">
        <v>-8.1809917974260002E-2</v>
      </c>
      <c r="AF18" s="20">
        <f t="shared" si="1"/>
        <v>1.4104099681458755</v>
      </c>
      <c r="AG18" s="76">
        <f t="shared" si="0"/>
        <v>5.217011311562568E-2</v>
      </c>
      <c r="AH18" s="76">
        <f>IFERROR(VLOOKUP(AJ18,Area_CLCL!$A$5:$E$51,5),"")</f>
        <v>1</v>
      </c>
      <c r="AI18" s="76">
        <f t="shared" ca="1" si="2"/>
        <v>2652.43</v>
      </c>
      <c r="AJ18" s="76" t="s">
        <v>61</v>
      </c>
    </row>
    <row r="19" spans="1:36" x14ac:dyDescent="0.3">
      <c r="A19" s="76" t="s">
        <v>251</v>
      </c>
      <c r="B19" s="74">
        <v>-4.4306975552450001E-2</v>
      </c>
      <c r="C19" s="74">
        <v>-4.4306975552450001E-2</v>
      </c>
      <c r="D19" s="74">
        <v>3.075680155738E-2</v>
      </c>
      <c r="E19" s="74">
        <v>-8.4613223106979996E-2</v>
      </c>
      <c r="F19" s="74">
        <v>8.5740837964299998E-3</v>
      </c>
      <c r="G19" s="74">
        <v>6.4189770036629998E-2</v>
      </c>
      <c r="H19" s="74">
        <v>5.2404103750390001E-2</v>
      </c>
      <c r="I19" s="74">
        <v>0.10564425579884</v>
      </c>
      <c r="J19" s="74">
        <v>7.6096575932960001E-2</v>
      </c>
      <c r="K19" s="74">
        <v>7.8648939881609994E-2</v>
      </c>
      <c r="L19" s="74">
        <v>5.4346710896309998E-2</v>
      </c>
      <c r="M19" s="74">
        <v>3.9214710934819999E-2</v>
      </c>
      <c r="N19" s="74">
        <v>0.10282945550417</v>
      </c>
      <c r="O19" s="74">
        <v>-3.6305640389999998E-4</v>
      </c>
      <c r="P19" s="74">
        <v>2.0535880645019999E-2</v>
      </c>
      <c r="Q19" s="74">
        <v>4.012540436881E-2</v>
      </c>
      <c r="R19" s="74">
        <v>6.1611401798150001E-2</v>
      </c>
      <c r="S19" s="74">
        <v>1.7539814230970001E-2</v>
      </c>
      <c r="T19" s="74">
        <v>-5.2708212123810001E-2</v>
      </c>
      <c r="U19" s="74">
        <v>3.0706358597999998E-4</v>
      </c>
      <c r="V19" s="74">
        <v>6.4461571037939994E-2</v>
      </c>
      <c r="W19" s="74">
        <v>0.11587006801921999</v>
      </c>
      <c r="X19" s="74">
        <v>6.1848536692060002E-2</v>
      </c>
      <c r="Y19" s="74">
        <v>6.4864500111490003E-2</v>
      </c>
      <c r="Z19" s="74">
        <v>9.0617919279490006E-2</v>
      </c>
      <c r="AA19" s="74">
        <v>1.318424453244E-2</v>
      </c>
      <c r="AB19" s="74">
        <v>7.0242852107109996E-2</v>
      </c>
      <c r="AC19" s="74">
        <v>3.0378226123580002E-2</v>
      </c>
      <c r="AD19" s="74">
        <v>7.2198928188509995E-2</v>
      </c>
      <c r="AE19" s="7">
        <v>-8.1809917974260002E-2</v>
      </c>
      <c r="AF19" s="20">
        <f t="shared" si="1"/>
        <v>1.4104099681458755</v>
      </c>
      <c r="AG19" s="76">
        <f t="shared" si="0"/>
        <v>5.217011311562568E-2</v>
      </c>
      <c r="AH19" s="76" t="str">
        <f>IFERROR(VLOOKUP(AJ19,Area_CLCL!$A$5:$E$51,5),"")</f>
        <v/>
      </c>
      <c r="AI19" s="76" t="str">
        <f t="shared" ca="1" si="2"/>
        <v/>
      </c>
      <c r="AJ19" s="76"/>
    </row>
    <row r="20" spans="1:36" x14ac:dyDescent="0.3">
      <c r="A20" s="76" t="s">
        <v>252</v>
      </c>
      <c r="B20" s="74">
        <v>-4.4306975552450001E-2</v>
      </c>
      <c r="C20" s="74">
        <v>-4.4306975552450001E-2</v>
      </c>
      <c r="D20" s="74">
        <v>3.075680155738E-2</v>
      </c>
      <c r="E20" s="74">
        <v>-8.4613223106979996E-2</v>
      </c>
      <c r="F20" s="74">
        <v>8.5740837964299998E-3</v>
      </c>
      <c r="G20" s="74">
        <v>6.4189770036629998E-2</v>
      </c>
      <c r="H20" s="74">
        <v>5.2404103750390001E-2</v>
      </c>
      <c r="I20" s="74">
        <v>0.10564425579884</v>
      </c>
      <c r="J20" s="74">
        <v>7.6096575932960001E-2</v>
      </c>
      <c r="K20" s="74">
        <v>7.8648939881609994E-2</v>
      </c>
      <c r="L20" s="74">
        <v>5.4346710896309998E-2</v>
      </c>
      <c r="M20" s="74">
        <v>3.9214710934819999E-2</v>
      </c>
      <c r="N20" s="74">
        <v>0.10282945550417</v>
      </c>
      <c r="O20" s="74">
        <v>-3.6305640389999998E-4</v>
      </c>
      <c r="P20" s="74">
        <v>2.0535880645019999E-2</v>
      </c>
      <c r="Q20" s="74">
        <v>4.012540436881E-2</v>
      </c>
      <c r="R20" s="74">
        <v>6.1611401798150001E-2</v>
      </c>
      <c r="S20" s="74">
        <v>1.7539814230970001E-2</v>
      </c>
      <c r="T20" s="74">
        <v>-5.2708212123810001E-2</v>
      </c>
      <c r="U20" s="74">
        <v>3.0706358597999998E-4</v>
      </c>
      <c r="V20" s="74">
        <v>6.4461571037939994E-2</v>
      </c>
      <c r="W20" s="74">
        <v>0.11587006801921999</v>
      </c>
      <c r="X20" s="74">
        <v>6.1848536692060002E-2</v>
      </c>
      <c r="Y20" s="74">
        <v>6.4864500111490003E-2</v>
      </c>
      <c r="Z20" s="74">
        <v>9.0617919279490006E-2</v>
      </c>
      <c r="AA20" s="74">
        <v>1.318424453244E-2</v>
      </c>
      <c r="AB20" s="74">
        <v>7.0242852107109996E-2</v>
      </c>
      <c r="AC20" s="74">
        <v>3.0378226123580002E-2</v>
      </c>
      <c r="AD20" s="74">
        <v>7.2198928188509995E-2</v>
      </c>
      <c r="AE20" s="7">
        <v>-8.1809917974260002E-2</v>
      </c>
      <c r="AF20" s="20">
        <f t="shared" si="1"/>
        <v>1.4104099681458755</v>
      </c>
      <c r="AG20" s="76">
        <f t="shared" si="0"/>
        <v>5.217011311562568E-2</v>
      </c>
      <c r="AH20" s="76" t="str">
        <f>IFERROR(VLOOKUP(AJ20,Area_CLCL!$A$5:$E$51,5),"")</f>
        <v/>
      </c>
      <c r="AI20" s="76" t="str">
        <f t="shared" ca="1" si="2"/>
        <v/>
      </c>
      <c r="AJ20" s="76"/>
    </row>
    <row r="21" spans="1:36" x14ac:dyDescent="0.3">
      <c r="A21" s="76" t="s">
        <v>253</v>
      </c>
      <c r="B21" s="76" t="s">
        <v>23</v>
      </c>
      <c r="C21" s="76" t="s">
        <v>23</v>
      </c>
      <c r="D21" s="74">
        <v>-1.455129087053E-2</v>
      </c>
      <c r="E21" s="74">
        <v>-4.7371931735100004E-3</v>
      </c>
      <c r="F21" s="74">
        <v>3.7423861531179999E-2</v>
      </c>
      <c r="G21" s="74">
        <v>7.4289412247210002E-2</v>
      </c>
      <c r="H21" s="74">
        <v>8.5243334126700002E-2</v>
      </c>
      <c r="I21" s="74">
        <v>0.10015718246747</v>
      </c>
      <c r="J21" s="74">
        <v>7.9996034913760006E-2</v>
      </c>
      <c r="K21" s="74">
        <v>6.5765311437799998E-2</v>
      </c>
      <c r="L21" s="74">
        <v>7.8156097460579999E-2</v>
      </c>
      <c r="M21" s="74">
        <v>8.9729182888069997E-2</v>
      </c>
      <c r="N21" s="74">
        <v>0.14113727607029999</v>
      </c>
      <c r="O21" s="74">
        <v>0.17124415351342001</v>
      </c>
      <c r="P21" s="74">
        <v>0.16407100652079001</v>
      </c>
      <c r="Q21" s="74">
        <v>0.17956339305437999</v>
      </c>
      <c r="R21" s="74">
        <v>0.1621737306304</v>
      </c>
      <c r="S21" s="74">
        <v>0.17721315459418999</v>
      </c>
      <c r="T21" s="74">
        <v>0.16930355867510999</v>
      </c>
      <c r="U21" s="74">
        <v>0.1717439806155</v>
      </c>
      <c r="V21" s="74">
        <v>0.17039296852440999</v>
      </c>
      <c r="W21" s="74">
        <v>0.17644298222578</v>
      </c>
      <c r="X21" s="74">
        <v>0.19487244824194</v>
      </c>
      <c r="Y21" s="74">
        <v>0.19558143731152999</v>
      </c>
      <c r="Z21" s="74">
        <v>0.15652765810698999</v>
      </c>
      <c r="AA21" s="74">
        <v>0.11099277787151</v>
      </c>
      <c r="AB21" s="74">
        <v>8.3135656894339993E-2</v>
      </c>
      <c r="AC21" s="74">
        <v>6.8458165385859998E-2</v>
      </c>
      <c r="AD21" s="74">
        <v>9.1319169719409996E-2</v>
      </c>
      <c r="AE21" s="7">
        <v>0.10731205651732</v>
      </c>
      <c r="AF21" s="20">
        <f t="shared" si="1"/>
        <v>0.52631164107409945</v>
      </c>
      <c r="AG21" s="76">
        <f t="shared" si="0"/>
        <v>6.1709241191066612E-2</v>
      </c>
      <c r="AH21" s="76">
        <f>IFERROR(VLOOKUP(AJ21,Area_CLCL!$A$5:$E$51,5),"")</f>
        <v>1</v>
      </c>
      <c r="AI21" s="76">
        <f t="shared" ca="1" si="2"/>
        <v>959.7</v>
      </c>
      <c r="AJ21" s="76" t="s">
        <v>63</v>
      </c>
    </row>
    <row r="22" spans="1:36" s="3" customFormat="1" x14ac:dyDescent="0.3">
      <c r="A22" s="3" t="s">
        <v>254</v>
      </c>
      <c r="B22" s="4">
        <v>4.1825421645299999E-3</v>
      </c>
      <c r="C22" s="4">
        <v>4.1825421645299999E-3</v>
      </c>
      <c r="D22" s="4">
        <v>7.7509530311999997E-3</v>
      </c>
      <c r="E22" s="4">
        <v>6.7519221832300002E-3</v>
      </c>
      <c r="F22" s="4">
        <v>1.0662891966070001E-2</v>
      </c>
      <c r="G22" s="4">
        <v>1.0164213170979999E-2</v>
      </c>
      <c r="H22" s="4">
        <v>9.5513029284300006E-3</v>
      </c>
      <c r="I22" s="4">
        <v>9.2755257922400008E-3</v>
      </c>
      <c r="J22" s="4">
        <v>8.5945854341099998E-3</v>
      </c>
      <c r="K22" s="4">
        <v>1.039756438973E-2</v>
      </c>
      <c r="L22" s="4">
        <v>1.055305023816E-2</v>
      </c>
      <c r="M22" s="4">
        <v>1.189720598993E-2</v>
      </c>
      <c r="N22" s="4">
        <v>1.6013730168650001E-2</v>
      </c>
      <c r="O22" s="4">
        <v>1.445248041798E-2</v>
      </c>
      <c r="P22" s="4">
        <v>1.5338827495590001E-2</v>
      </c>
      <c r="Q22" s="4">
        <v>1.6187207187539999E-2</v>
      </c>
      <c r="R22" s="4">
        <v>1.980496770509E-2</v>
      </c>
      <c r="S22" s="4">
        <v>2.0177783321830001E-2</v>
      </c>
      <c r="T22" s="4">
        <v>1.980708230415E-2</v>
      </c>
      <c r="U22" s="4">
        <v>1.94603817676E-2</v>
      </c>
      <c r="V22" s="4">
        <v>2.2602785377409999E-2</v>
      </c>
      <c r="W22" s="4">
        <v>2.1138389837449999E-2</v>
      </c>
      <c r="X22" s="4">
        <v>1.8929402249829998E-2</v>
      </c>
      <c r="Y22" s="4">
        <v>1.6224221205039999E-2</v>
      </c>
      <c r="Z22" s="4">
        <v>1.585656108314E-2</v>
      </c>
      <c r="AA22" s="4">
        <v>1.5886981288539999E-2</v>
      </c>
      <c r="AB22" s="4">
        <v>1.8851943660400002E-2</v>
      </c>
      <c r="AC22" s="4">
        <v>1.6848029706730001E-2</v>
      </c>
      <c r="AD22" s="4">
        <v>1.6738168669499998E-2</v>
      </c>
      <c r="AE22" s="7">
        <v>1.274689026921E-2</v>
      </c>
      <c r="AF22" s="20">
        <f t="shared" si="1"/>
        <v>0.33739196557871959</v>
      </c>
      <c r="AG22" s="76">
        <f t="shared" si="0"/>
        <v>4.8496906232997098E-3</v>
      </c>
      <c r="AH22" s="76" t="str">
        <f>IFERROR(VLOOKUP(AJ22,Area_CLCL!$A$5:$E$51,5),"")</f>
        <v/>
      </c>
      <c r="AI22" s="76" t="str">
        <f t="shared" ca="1" si="2"/>
        <v/>
      </c>
    </row>
    <row r="23" spans="1:36" x14ac:dyDescent="0.3">
      <c r="A23" s="76" t="s">
        <v>255</v>
      </c>
      <c r="B23" s="74">
        <v>4.2682129267900002E-3</v>
      </c>
      <c r="C23" s="74">
        <v>4.2682129267900002E-3</v>
      </c>
      <c r="D23" s="74">
        <v>7.8351282289900008E-3</v>
      </c>
      <c r="E23" s="74">
        <v>6.8371999701599996E-3</v>
      </c>
      <c r="F23" s="74">
        <v>1.074601639846E-2</v>
      </c>
      <c r="G23" s="74">
        <v>1.0247858099199999E-2</v>
      </c>
      <c r="H23" s="74">
        <v>9.6356268413699993E-3</v>
      </c>
      <c r="I23" s="74">
        <v>9.3604733760299999E-3</v>
      </c>
      <c r="J23" s="74">
        <v>8.6801379900600002E-3</v>
      </c>
      <c r="K23" s="74">
        <v>1.048226650348E-2</v>
      </c>
      <c r="L23" s="74">
        <v>1.063746432303E-2</v>
      </c>
      <c r="M23" s="74">
        <v>1.198065818939E-2</v>
      </c>
      <c r="N23" s="74">
        <v>1.6094299764719999E-2</v>
      </c>
      <c r="O23" s="74">
        <v>1.4533648591E-2</v>
      </c>
      <c r="P23" s="74">
        <v>1.541904265641E-2</v>
      </c>
      <c r="Q23" s="74">
        <v>1.6266686521710001E-2</v>
      </c>
      <c r="R23" s="74">
        <v>1.9881719139879999E-2</v>
      </c>
      <c r="S23" s="74">
        <v>2.025345704848E-2</v>
      </c>
      <c r="T23" s="74">
        <v>1.988204633553E-2</v>
      </c>
      <c r="U23" s="74">
        <v>1.9534367535009999E-2</v>
      </c>
      <c r="V23" s="74">
        <v>2.267368726315E-2</v>
      </c>
      <c r="W23" s="74">
        <v>2.1208679716580001E-2</v>
      </c>
      <c r="X23" s="74">
        <v>1.8999414779180001E-2</v>
      </c>
      <c r="Y23" s="74">
        <v>1.629423545418E-2</v>
      </c>
      <c r="Z23" s="74">
        <v>1.5925105141110001E-2</v>
      </c>
      <c r="AA23" s="74">
        <v>1.5954161334870001E-2</v>
      </c>
      <c r="AB23" s="74">
        <v>1.8916025726699998E-2</v>
      </c>
      <c r="AC23" s="74">
        <v>1.6911447245169998E-2</v>
      </c>
      <c r="AD23" s="74">
        <v>1.6800006222549999E-2</v>
      </c>
      <c r="AE23" s="7">
        <v>1.280880241132E-2</v>
      </c>
      <c r="AF23" s="20">
        <f t="shared" si="1"/>
        <v>0.33522652302545292</v>
      </c>
      <c r="AG23" s="76">
        <f t="shared" si="0"/>
        <v>4.8442298929014613E-3</v>
      </c>
      <c r="AH23" s="76" t="str">
        <f>IFERROR(VLOOKUP(AJ23,Area_CLCL!$A$5:$E$51,5),"")</f>
        <v/>
      </c>
      <c r="AI23" s="76" t="str">
        <f t="shared" ca="1" si="2"/>
        <v/>
      </c>
      <c r="AJ23" s="76"/>
    </row>
    <row r="24" spans="1:36" x14ac:dyDescent="0.3">
      <c r="A24" s="76" t="s">
        <v>256</v>
      </c>
      <c r="B24" s="74">
        <v>1.26405317014E-3</v>
      </c>
      <c r="C24" s="74">
        <v>1.26405317014E-3</v>
      </c>
      <c r="D24" s="74">
        <v>3.099300788289E-2</v>
      </c>
      <c r="E24" s="74">
        <v>3.4896394859549998E-2</v>
      </c>
      <c r="F24" s="74">
        <v>-2.3628908672000001E-4</v>
      </c>
      <c r="G24" s="74">
        <v>-2.7598388757210001E-2</v>
      </c>
      <c r="H24" s="74">
        <v>-1.9324811040720001E-2</v>
      </c>
      <c r="I24" s="74">
        <v>-0.11636774834664</v>
      </c>
      <c r="J24" s="74">
        <v>-0.18376066811578001</v>
      </c>
      <c r="K24" s="74">
        <v>-0.15140833934169001</v>
      </c>
      <c r="L24" s="74">
        <v>-0.15427942244928</v>
      </c>
      <c r="M24" s="74">
        <v>-0.1456727295112</v>
      </c>
      <c r="N24" s="74">
        <v>-8.9141983924270002E-2</v>
      </c>
      <c r="O24" s="74">
        <v>-4.7423506319820001E-2</v>
      </c>
      <c r="P24" s="74">
        <v>-5.4892591549759999E-2</v>
      </c>
      <c r="Q24" s="74">
        <v>-7.6046647922909993E-2</v>
      </c>
      <c r="R24" s="74">
        <v>-7.2920596272989996E-2</v>
      </c>
      <c r="S24" s="74">
        <v>-8.268137680314E-2</v>
      </c>
      <c r="T24" s="74">
        <v>-5.727789125419E-2</v>
      </c>
      <c r="U24" s="74">
        <v>-9.6498910552729994E-2</v>
      </c>
      <c r="V24" s="74">
        <v>-6.7021419973270005E-2</v>
      </c>
      <c r="W24" s="74">
        <v>-7.9880271570549999E-2</v>
      </c>
      <c r="X24" s="74">
        <v>-5.8930868241590002E-2</v>
      </c>
      <c r="Y24" s="74">
        <v>-7.1952901501409997E-2</v>
      </c>
      <c r="Z24" s="74">
        <v>-5.2184800497669999E-2</v>
      </c>
      <c r="AA24" s="74">
        <v>-6.5369103070249998E-2</v>
      </c>
      <c r="AB24" s="74">
        <v>-6.2987782378369994E-2</v>
      </c>
      <c r="AC24" s="74">
        <v>-0.12583823302356001</v>
      </c>
      <c r="AD24" s="74">
        <v>-0.15331085896086999</v>
      </c>
      <c r="AE24" s="7">
        <v>-0.17333518743844001</v>
      </c>
      <c r="AF24" s="20">
        <f t="shared" si="1"/>
        <v>0.75052758625593508</v>
      </c>
      <c r="AG24" s="76">
        <f t="shared" si="0"/>
        <v>5.7433214416210722E-2</v>
      </c>
      <c r="AH24" s="76">
        <f>IFERROR(VLOOKUP(AJ24,Area_CLCL!$A$5:$E$51,5),"")</f>
        <v>1</v>
      </c>
      <c r="AI24" s="76">
        <f t="shared" ca="1" si="2"/>
        <v>2157.38</v>
      </c>
      <c r="AJ24" s="76" t="s">
        <v>31</v>
      </c>
    </row>
    <row r="25" spans="1:36" x14ac:dyDescent="0.3">
      <c r="A25" s="76" t="s">
        <v>257</v>
      </c>
      <c r="B25" s="74">
        <v>8.8943671100000005E-4</v>
      </c>
      <c r="C25" s="74">
        <v>8.8943671100000005E-4</v>
      </c>
      <c r="D25" s="74">
        <v>1.4138910915099999E-3</v>
      </c>
      <c r="E25" s="74">
        <v>7.1758690781000001E-4</v>
      </c>
      <c r="F25" s="74">
        <v>8.0562986461E-4</v>
      </c>
      <c r="G25" s="74">
        <v>9.1489442984000005E-4</v>
      </c>
      <c r="H25" s="74">
        <v>4.3813830791499999E-3</v>
      </c>
      <c r="I25" s="74">
        <v>6.3148240619E-3</v>
      </c>
      <c r="J25" s="74">
        <v>8.1144877289900004E-3</v>
      </c>
      <c r="K25" s="74">
        <v>1.0273619470210001E-2</v>
      </c>
      <c r="L25" s="74">
        <v>1.3403812812450001E-2</v>
      </c>
      <c r="M25" s="74">
        <v>1.4575109610709999E-2</v>
      </c>
      <c r="N25" s="74">
        <v>2.329134329687E-2</v>
      </c>
      <c r="O25" s="74">
        <v>3.0624916880500001E-2</v>
      </c>
      <c r="P25" s="74">
        <v>3.9936346805590002E-2</v>
      </c>
      <c r="Q25" s="74">
        <v>4.8849332910559998E-2</v>
      </c>
      <c r="R25" s="74">
        <v>5.8365632514070002E-2</v>
      </c>
      <c r="S25" s="74">
        <v>6.4570446616330004E-2</v>
      </c>
      <c r="T25" s="74">
        <v>6.6684665988330005E-2</v>
      </c>
      <c r="U25" s="74">
        <v>6.6209782806039993E-2</v>
      </c>
      <c r="V25" s="74">
        <v>6.9682398243290006E-2</v>
      </c>
      <c r="W25" s="74">
        <v>7.0397618024090003E-2</v>
      </c>
      <c r="X25" s="74">
        <v>7.0669624265790001E-2</v>
      </c>
      <c r="Y25" s="74">
        <v>7.1041205808440006E-2</v>
      </c>
      <c r="Z25" s="74">
        <v>7.2931376337059997E-2</v>
      </c>
      <c r="AA25" s="74">
        <v>7.2665200713389999E-2</v>
      </c>
      <c r="AB25" s="74">
        <v>6.8157667013860002E-2</v>
      </c>
      <c r="AC25" s="74">
        <v>6.5046778134610003E-2</v>
      </c>
      <c r="AD25" s="74">
        <v>6.3296582673359997E-2</v>
      </c>
      <c r="AE25" s="7">
        <v>6.0997794189480002E-2</v>
      </c>
      <c r="AF25" s="20">
        <f t="shared" si="1"/>
        <v>0.7463783502647503</v>
      </c>
      <c r="AG25" s="76">
        <f t="shared" si="0"/>
        <v>2.9474825646856658E-2</v>
      </c>
      <c r="AH25" s="76" t="str">
        <f>IFERROR(VLOOKUP(AJ25,Area_CLCL!$A$5:$E$51,5),"")</f>
        <v/>
      </c>
      <c r="AI25" s="76" t="str">
        <f t="shared" ca="1" si="2"/>
        <v/>
      </c>
      <c r="AJ25" s="76"/>
    </row>
    <row r="26" spans="1:36" x14ac:dyDescent="0.3">
      <c r="A26" s="76" t="s">
        <v>258</v>
      </c>
      <c r="B26" s="74">
        <v>8.9350045582E-4</v>
      </c>
      <c r="C26" s="74">
        <v>8.9350045582E-4</v>
      </c>
      <c r="D26" s="74">
        <v>1.4203775121399999E-3</v>
      </c>
      <c r="E26" s="74">
        <v>7.2088897881E-4</v>
      </c>
      <c r="F26" s="74">
        <v>8.0934439080999996E-4</v>
      </c>
      <c r="G26" s="74">
        <v>9.1912533295999998E-4</v>
      </c>
      <c r="H26" s="74">
        <v>4.4016517577199999E-3</v>
      </c>
      <c r="I26" s="74">
        <v>6.3440464924900001E-3</v>
      </c>
      <c r="J26" s="74">
        <v>8.1519837153799998E-3</v>
      </c>
      <c r="K26" s="74">
        <v>1.0321001486109999E-2</v>
      </c>
      <c r="L26" s="74">
        <v>1.3465322748410001E-2</v>
      </c>
      <c r="M26" s="74">
        <v>1.4641591319100001E-2</v>
      </c>
      <c r="N26" s="74">
        <v>2.339715900771E-2</v>
      </c>
      <c r="O26" s="74">
        <v>3.076333390489E-2</v>
      </c>
      <c r="P26" s="74">
        <v>4.0115942579889999E-2</v>
      </c>
      <c r="Q26" s="74">
        <v>4.9067701133360002E-2</v>
      </c>
      <c r="R26" s="74">
        <v>5.8626276950209999E-2</v>
      </c>
      <c r="S26" s="74">
        <v>6.4858891910060001E-2</v>
      </c>
      <c r="T26" s="74">
        <v>6.6982881105400002E-2</v>
      </c>
      <c r="U26" s="74">
        <v>6.6505668080810001E-2</v>
      </c>
      <c r="V26" s="74">
        <v>6.9992614939880002E-2</v>
      </c>
      <c r="W26" s="74">
        <v>7.0708743766870003E-2</v>
      </c>
      <c r="X26" s="74">
        <v>7.0978857649810004E-2</v>
      </c>
      <c r="Y26" s="74">
        <v>7.1348763060150006E-2</v>
      </c>
      <c r="Z26" s="74">
        <v>7.3243543416499995E-2</v>
      </c>
      <c r="AA26" s="74">
        <v>7.2974054267190003E-2</v>
      </c>
      <c r="AB26" s="74">
        <v>6.8445727756089994E-2</v>
      </c>
      <c r="AC26" s="74">
        <v>6.531937181394E-2</v>
      </c>
      <c r="AD26" s="74">
        <v>6.3559995770620006E-2</v>
      </c>
      <c r="AE26" s="7">
        <v>6.1249877824990001E-2</v>
      </c>
      <c r="AF26" s="20">
        <f t="shared" si="1"/>
        <v>0.74633660164785498</v>
      </c>
      <c r="AG26" s="76">
        <f t="shared" si="0"/>
        <v>2.9601980521044055E-2</v>
      </c>
      <c r="AH26" s="76">
        <f>IFERROR(VLOOKUP(AJ26,Area_CLCL!$A$5:$E$51,5),"")</f>
        <v>1</v>
      </c>
      <c r="AI26" s="76">
        <f t="shared" ca="1" si="2"/>
        <v>14476.23</v>
      </c>
      <c r="AJ26" s="76" t="s">
        <v>34</v>
      </c>
    </row>
    <row r="27" spans="1:36" x14ac:dyDescent="0.3">
      <c r="A27" s="76" t="s">
        <v>259</v>
      </c>
      <c r="B27" s="74">
        <v>-1.8247599999999999E-3</v>
      </c>
      <c r="C27" s="74">
        <v>-1.8247599999999999E-3</v>
      </c>
      <c r="D27" s="74">
        <v>-2.15839E-3</v>
      </c>
      <c r="E27" s="74">
        <v>-2.07479E-3</v>
      </c>
      <c r="F27" s="74">
        <v>-2.0365299999999999E-3</v>
      </c>
      <c r="G27" s="74">
        <v>-2.0127299999999999E-3</v>
      </c>
      <c r="H27" s="74">
        <v>-1.9957899999999999E-3</v>
      </c>
      <c r="I27" s="74">
        <v>-1.9792899999999999E-3</v>
      </c>
      <c r="J27" s="74">
        <v>-1.9662299999999998E-3</v>
      </c>
      <c r="K27" s="74">
        <v>-1.9548399999999998E-3</v>
      </c>
      <c r="L27" s="74">
        <v>-1.9425200000000001E-3</v>
      </c>
      <c r="M27" s="74">
        <v>-1.93136E-3</v>
      </c>
      <c r="N27" s="74">
        <v>-1.8935499999999999E-3</v>
      </c>
      <c r="O27" s="74">
        <v>-1.8588299999999999E-3</v>
      </c>
      <c r="P27" s="74">
        <v>-1.82445E-3</v>
      </c>
      <c r="Q27" s="74">
        <v>-1.79181E-3</v>
      </c>
      <c r="R27" s="74">
        <v>-1.76177E-3</v>
      </c>
      <c r="S27" s="74">
        <v>-1.7970499999999999E-3</v>
      </c>
      <c r="T27" s="74">
        <v>-1.83566E-3</v>
      </c>
      <c r="U27" s="74">
        <v>-1.8787299999999999E-3</v>
      </c>
      <c r="V27" s="74">
        <v>-1.76757E-3</v>
      </c>
      <c r="W27" s="74">
        <v>-1.6577E-3</v>
      </c>
      <c r="X27" s="74">
        <v>-1.5714399999999999E-3</v>
      </c>
      <c r="Y27" s="74">
        <v>-1.4855300000000001E-3</v>
      </c>
      <c r="Z27" s="74">
        <v>-1.41008E-3</v>
      </c>
      <c r="AA27" s="74">
        <v>-1.3346E-3</v>
      </c>
      <c r="AB27" s="74">
        <v>-1.2567500000000001E-3</v>
      </c>
      <c r="AC27" s="74">
        <v>-1.1793999999999999E-3</v>
      </c>
      <c r="AD27" s="74">
        <v>-1.10542E-3</v>
      </c>
      <c r="AE27" s="7">
        <v>-1.03404E-3</v>
      </c>
      <c r="AF27" s="20">
        <f t="shared" si="1"/>
        <v>0.17749317390111441</v>
      </c>
      <c r="AG27" s="76">
        <f t="shared" si="0"/>
        <v>3.0799111292117444E-4</v>
      </c>
      <c r="AH27" s="76">
        <f>IFERROR(VLOOKUP(AJ27,Area_CLCL!$A$5:$E$51,5),"")</f>
        <v>1</v>
      </c>
      <c r="AI27" s="76">
        <f t="shared" ca="1" si="2"/>
        <v>11143.4</v>
      </c>
      <c r="AJ27" s="76" t="s">
        <v>35</v>
      </c>
    </row>
    <row r="28" spans="1:36" x14ac:dyDescent="0.3">
      <c r="A28" s="76" t="s">
        <v>260</v>
      </c>
      <c r="B28" s="76" t="s">
        <v>23</v>
      </c>
      <c r="C28" s="76" t="s">
        <v>23</v>
      </c>
      <c r="D28" s="76" t="s">
        <v>23</v>
      </c>
      <c r="E28" s="76" t="s">
        <v>23</v>
      </c>
      <c r="F28" s="76" t="s">
        <v>23</v>
      </c>
      <c r="G28" s="76" t="s">
        <v>23</v>
      </c>
      <c r="H28" s="76" t="s">
        <v>23</v>
      </c>
      <c r="I28" s="76" t="s">
        <v>23</v>
      </c>
      <c r="J28" s="76" t="s">
        <v>23</v>
      </c>
      <c r="K28" s="76" t="s">
        <v>23</v>
      </c>
      <c r="L28" s="76" t="s">
        <v>23</v>
      </c>
      <c r="M28" s="76" t="s">
        <v>23</v>
      </c>
      <c r="N28" s="76" t="s">
        <v>23</v>
      </c>
      <c r="O28" s="76" t="s">
        <v>23</v>
      </c>
      <c r="P28" s="76" t="s">
        <v>23</v>
      </c>
      <c r="Q28" s="76" t="s">
        <v>23</v>
      </c>
      <c r="R28" s="76" t="s">
        <v>23</v>
      </c>
      <c r="S28" s="76" t="s">
        <v>23</v>
      </c>
      <c r="T28" s="76" t="s">
        <v>23</v>
      </c>
      <c r="U28" s="76" t="s">
        <v>23</v>
      </c>
      <c r="V28" s="76" t="s">
        <v>23</v>
      </c>
      <c r="W28" s="76" t="s">
        <v>23</v>
      </c>
      <c r="X28" s="76" t="s">
        <v>23</v>
      </c>
      <c r="Y28" s="76" t="s">
        <v>23</v>
      </c>
      <c r="Z28" s="76" t="s">
        <v>23</v>
      </c>
      <c r="AA28" s="76" t="s">
        <v>23</v>
      </c>
      <c r="AB28" s="76" t="s">
        <v>23</v>
      </c>
      <c r="AC28" s="76" t="s">
        <v>23</v>
      </c>
      <c r="AD28" s="76" t="s">
        <v>23</v>
      </c>
      <c r="AE28" s="5" t="s">
        <v>23</v>
      </c>
      <c r="AF28" s="20" t="e">
        <f t="shared" si="1"/>
        <v>#DIV/0!</v>
      </c>
      <c r="AG28" s="76">
        <f t="shared" si="0"/>
        <v>0</v>
      </c>
      <c r="AH28" s="76">
        <f>IFERROR(VLOOKUP(AJ28,Area_CLCL!$A$5:$E$51,5),"")</f>
        <v>1</v>
      </c>
      <c r="AI28" s="76">
        <f t="shared" ca="1" si="2"/>
        <v>3062.66</v>
      </c>
      <c r="AJ28" s="76" t="s">
        <v>36</v>
      </c>
    </row>
    <row r="29" spans="1:36" x14ac:dyDescent="0.3">
      <c r="A29" s="76" t="s">
        <v>261</v>
      </c>
      <c r="B29" s="74">
        <v>-1.04890433237E-3</v>
      </c>
      <c r="C29" s="74">
        <v>5.0970608302000002E-4</v>
      </c>
      <c r="D29" s="74">
        <v>3.80863460031E-3</v>
      </c>
      <c r="E29" s="74">
        <v>7.1544687954400001E-3</v>
      </c>
      <c r="F29" s="74">
        <v>1.2333416929139999E-2</v>
      </c>
      <c r="G29" s="74">
        <v>1.7545542380660001E-2</v>
      </c>
      <c r="H29" s="74">
        <v>2.280706556006E-2</v>
      </c>
      <c r="I29" s="74">
        <v>2.8124209538970001E-2</v>
      </c>
      <c r="J29" s="74">
        <v>3.3497211135730003E-2</v>
      </c>
      <c r="K29" s="74">
        <v>3.9699090913879999E-2</v>
      </c>
      <c r="L29" s="74">
        <v>4.5105356750609997E-2</v>
      </c>
      <c r="M29" s="74">
        <v>5.1545529398000001E-2</v>
      </c>
      <c r="N29" s="74">
        <v>5.2915692563920001E-2</v>
      </c>
      <c r="O29" s="74">
        <v>5.4797107177769998E-2</v>
      </c>
      <c r="P29" s="74">
        <v>5.6599166476699998E-2</v>
      </c>
      <c r="Q29" s="74">
        <v>5.837353193797E-2</v>
      </c>
      <c r="R29" s="74">
        <v>6.0966164039240003E-2</v>
      </c>
      <c r="S29" s="74">
        <v>6.2816135033950005E-2</v>
      </c>
      <c r="T29" s="74">
        <v>6.2432623862199998E-2</v>
      </c>
      <c r="U29" s="74">
        <v>6.2314978359319997E-2</v>
      </c>
      <c r="V29" s="74">
        <v>6.3026028068610004E-2</v>
      </c>
      <c r="W29" s="74">
        <v>6.3901896629450006E-2</v>
      </c>
      <c r="X29" s="74">
        <v>5.9795634034049999E-2</v>
      </c>
      <c r="Y29" s="74">
        <v>5.528579921922E-2</v>
      </c>
      <c r="Z29" s="74">
        <v>5.0088504868789997E-2</v>
      </c>
      <c r="AA29" s="74">
        <v>4.4660982761889997E-2</v>
      </c>
      <c r="AB29" s="74">
        <v>3.9257352004540003E-2</v>
      </c>
      <c r="AC29" s="74">
        <v>3.6114569928579997E-2</v>
      </c>
      <c r="AD29" s="74">
        <v>3.2738720968950002E-2</v>
      </c>
      <c r="AE29" s="7">
        <v>2.8267697668260001E-2</v>
      </c>
      <c r="AF29" s="20">
        <f t="shared" si="1"/>
        <v>0.47203879364268153</v>
      </c>
      <c r="AG29" s="76">
        <f t="shared" si="0"/>
        <v>1.9638161855608537E-2</v>
      </c>
      <c r="AH29" s="76">
        <f>IFERROR(VLOOKUP(AJ29,Area_CLCL!$A$5:$E$51,5),"")</f>
        <v>1</v>
      </c>
      <c r="AI29" s="76">
        <f t="shared" ca="1" si="2"/>
        <v>5112.83</v>
      </c>
      <c r="AJ29" s="76" t="s">
        <v>38</v>
      </c>
    </row>
    <row r="30" spans="1:36" x14ac:dyDescent="0.3">
      <c r="A30" s="76" t="s">
        <v>262</v>
      </c>
      <c r="B30" s="74">
        <v>0.17080000000000001</v>
      </c>
      <c r="C30" s="74">
        <v>0.17080000000000001</v>
      </c>
      <c r="D30" s="74">
        <v>0.17080000000000001</v>
      </c>
      <c r="E30" s="74">
        <v>0.17080000000000001</v>
      </c>
      <c r="F30" s="74">
        <v>0.17080000000000001</v>
      </c>
      <c r="G30" s="74">
        <v>0.17080000000000001</v>
      </c>
      <c r="H30" s="74">
        <v>0.17080000000000001</v>
      </c>
      <c r="I30" s="74">
        <v>0.17080000000000001</v>
      </c>
      <c r="J30" s="74">
        <v>0.17080000000000001</v>
      </c>
      <c r="K30" s="74">
        <v>0.17080000000000001</v>
      </c>
      <c r="L30" s="74">
        <v>0.17080000000000001</v>
      </c>
      <c r="M30" s="74">
        <v>0.17080000000000001</v>
      </c>
      <c r="N30" s="74">
        <v>0.17080000000000001</v>
      </c>
      <c r="O30" s="74">
        <v>0.17080000000000001</v>
      </c>
      <c r="P30" s="74">
        <v>0.17080000000000001</v>
      </c>
      <c r="Q30" s="74">
        <v>0.17080000000000001</v>
      </c>
      <c r="R30" s="74">
        <v>0.17080000000000001</v>
      </c>
      <c r="S30" s="74">
        <v>0.17080000000000001</v>
      </c>
      <c r="T30" s="74">
        <v>0.17080000000000001</v>
      </c>
      <c r="U30" s="74">
        <v>0.17080000000000001</v>
      </c>
      <c r="V30" s="74">
        <v>0.17080000000000001</v>
      </c>
      <c r="W30" s="74">
        <v>0.17080000000000001</v>
      </c>
      <c r="X30" s="74">
        <v>0.17080000000000001</v>
      </c>
      <c r="Y30" s="74">
        <v>0.17080000000000001</v>
      </c>
      <c r="Z30" s="74">
        <v>0.17080000000000001</v>
      </c>
      <c r="AA30" s="74">
        <v>0.17080000000000001</v>
      </c>
      <c r="AB30" s="74">
        <v>0.17080000000000001</v>
      </c>
      <c r="AC30" s="74">
        <v>0.17080000000000001</v>
      </c>
      <c r="AD30" s="74">
        <v>0.17080000000000001</v>
      </c>
      <c r="AE30" s="7">
        <v>0.17080000000000001</v>
      </c>
      <c r="AF30" s="20">
        <f t="shared" si="1"/>
        <v>4.9613927778694839E-16</v>
      </c>
      <c r="AG30" s="76">
        <f t="shared" si="0"/>
        <v>8.4740588646010755E-17</v>
      </c>
      <c r="AH30" s="76" t="str">
        <f>IFERROR(VLOOKUP(AJ30,Area_CLCL!$A$5:$E$51,5),"")</f>
        <v/>
      </c>
      <c r="AI30" s="76" t="str">
        <f t="shared" ca="1" si="2"/>
        <v/>
      </c>
      <c r="AJ30" s="76"/>
    </row>
    <row r="31" spans="1:36" x14ac:dyDescent="0.3">
      <c r="A31" s="76" t="s">
        <v>263</v>
      </c>
      <c r="B31" s="74">
        <v>-1.330305751126E-2</v>
      </c>
      <c r="C31" s="74">
        <v>-1.330305751126E-2</v>
      </c>
      <c r="D31" s="74">
        <v>-1.12358155566E-3</v>
      </c>
      <c r="E31" s="74">
        <v>1.9361481441350002E-2</v>
      </c>
      <c r="F31" s="74">
        <v>5.9643429977800002E-3</v>
      </c>
      <c r="G31" s="74">
        <v>6.2056151681500003E-3</v>
      </c>
      <c r="H31" s="74">
        <v>2.7506026668000002E-3</v>
      </c>
      <c r="I31" s="74">
        <v>-1.7512398774029998E-2</v>
      </c>
      <c r="J31" s="74">
        <v>-1.003696495911E-2</v>
      </c>
      <c r="K31" s="74">
        <v>3.0593606246499998E-3</v>
      </c>
      <c r="L31" s="74">
        <v>-3.23179527796E-3</v>
      </c>
      <c r="M31" s="74">
        <v>-8.2577328431000005E-4</v>
      </c>
      <c r="N31" s="74">
        <v>-4.6210837435560002E-2</v>
      </c>
      <c r="O31" s="74">
        <v>-4.3134815514410001E-2</v>
      </c>
      <c r="P31" s="74">
        <v>-2.0321215660510001E-2</v>
      </c>
      <c r="Q31" s="74">
        <v>-1.790235088593E-2</v>
      </c>
      <c r="R31" s="74">
        <v>-4.4523670368299996E-3</v>
      </c>
      <c r="S31" s="74">
        <v>1.317599720737E-2</v>
      </c>
      <c r="T31" s="74">
        <v>5.5446859500699998E-3</v>
      </c>
      <c r="U31" s="74">
        <v>-2.2967768260390001E-2</v>
      </c>
      <c r="V31" s="74">
        <v>7.1524780090599996E-3</v>
      </c>
      <c r="W31" s="74">
        <v>3.1492920156690002E-2</v>
      </c>
      <c r="X31" s="74">
        <v>1.8108210698330001E-2</v>
      </c>
      <c r="Y31" s="74">
        <v>-2.72897617195E-3</v>
      </c>
      <c r="Z31" s="74">
        <v>1.5715071284800001E-3</v>
      </c>
      <c r="AA31" s="74">
        <v>1.293012153482E-2</v>
      </c>
      <c r="AB31" s="74">
        <v>1.844844748828E-2</v>
      </c>
      <c r="AC31" s="74">
        <v>2.641484478568E-2</v>
      </c>
      <c r="AD31" s="74">
        <v>2.1451862954989999E-2</v>
      </c>
      <c r="AE31" s="7">
        <v>3.6707921346719997E-2</v>
      </c>
      <c r="AF31" s="20">
        <f t="shared" si="1"/>
        <v>21.532828862542836</v>
      </c>
      <c r="AG31" s="76">
        <f t="shared" si="0"/>
        <v>1.974226115564447E-2</v>
      </c>
      <c r="AH31" s="76">
        <f>IFERROR(VLOOKUP(AJ31,Area_CLCL!$A$5:$E$51,5),"")</f>
        <v>1</v>
      </c>
      <c r="AI31" s="76">
        <f t="shared" ca="1" si="2"/>
        <v>780.38</v>
      </c>
      <c r="AJ31" s="76" t="s">
        <v>39</v>
      </c>
    </row>
    <row r="32" spans="1:36" x14ac:dyDescent="0.3">
      <c r="A32" s="76" t="s">
        <v>264</v>
      </c>
      <c r="B32" s="74">
        <v>3.0687241758769999E-2</v>
      </c>
      <c r="C32" s="74">
        <v>3.0687241758769999E-2</v>
      </c>
      <c r="D32" s="74">
        <v>4.583273646608E-2</v>
      </c>
      <c r="E32" s="74">
        <v>6.1582582507819998E-2</v>
      </c>
      <c r="F32" s="74">
        <v>8.0354185221660004E-2</v>
      </c>
      <c r="G32" s="74">
        <v>6.9381536473180003E-2</v>
      </c>
      <c r="H32" s="74">
        <v>5.7334485352389997E-2</v>
      </c>
      <c r="I32" s="74">
        <v>5.6334343128239997E-2</v>
      </c>
      <c r="J32" s="74">
        <v>6.7343996564319997E-2</v>
      </c>
      <c r="K32" s="74">
        <v>7.9655610820019998E-2</v>
      </c>
      <c r="L32" s="74">
        <v>9.0632470134200005E-2</v>
      </c>
      <c r="M32" s="74">
        <v>0.10803507386775001</v>
      </c>
      <c r="N32" s="74">
        <v>0.11411022843445</v>
      </c>
      <c r="O32" s="74">
        <v>0.10629344399027001</v>
      </c>
      <c r="P32" s="74">
        <v>9.9761579609680004E-2</v>
      </c>
      <c r="Q32" s="74">
        <v>9.3666901807750003E-2</v>
      </c>
      <c r="R32" s="74">
        <v>0.10826017936182</v>
      </c>
      <c r="S32" s="74">
        <v>0.11326720425916</v>
      </c>
      <c r="T32" s="74">
        <v>0.11799034582215</v>
      </c>
      <c r="U32" s="74">
        <v>0.10469768184545999</v>
      </c>
      <c r="V32" s="74">
        <v>0.11537148001880999</v>
      </c>
      <c r="W32" s="74">
        <v>8.3289763437949998E-2</v>
      </c>
      <c r="X32" s="74">
        <v>6.647186558281E-2</v>
      </c>
      <c r="Y32" s="74">
        <v>4.954343942383E-2</v>
      </c>
      <c r="Z32" s="74">
        <v>2.8292969964050001E-2</v>
      </c>
      <c r="AA32" s="74">
        <v>4.9146130303470002E-2</v>
      </c>
      <c r="AB32" s="74">
        <v>7.2167124066899999E-2</v>
      </c>
      <c r="AC32" s="74">
        <v>8.6858941253230001E-2</v>
      </c>
      <c r="AD32" s="74">
        <v>9.4064185746070006E-2</v>
      </c>
      <c r="AE32" s="7">
        <v>9.076169348924E-2</v>
      </c>
      <c r="AF32" s="20">
        <f t="shared" si="1"/>
        <v>0.32249852816376456</v>
      </c>
      <c r="AG32" s="76">
        <f t="shared" si="0"/>
        <v>2.603552214938086E-2</v>
      </c>
      <c r="AH32" s="76">
        <f>IFERROR(VLOOKUP(AJ32,Area_CLCL!$A$5:$E$51,5),"")</f>
        <v>1</v>
      </c>
      <c r="AI32" s="76">
        <f t="shared" ca="1" si="2"/>
        <v>8824.32</v>
      </c>
      <c r="AJ32" s="76" t="s">
        <v>40</v>
      </c>
    </row>
    <row r="33" spans="1:36" x14ac:dyDescent="0.3">
      <c r="A33" s="76" t="s">
        <v>265</v>
      </c>
      <c r="B33" s="74">
        <v>-0.51222238642838003</v>
      </c>
      <c r="C33" s="74">
        <v>-0.51222238642838003</v>
      </c>
      <c r="D33" s="74">
        <v>-0.48876946376283997</v>
      </c>
      <c r="E33" s="74">
        <v>-0.27213019604688998</v>
      </c>
      <c r="F33" s="74">
        <v>-0.20409044414815999</v>
      </c>
      <c r="G33" s="74">
        <v>-0.25283527635105002</v>
      </c>
      <c r="H33" s="74">
        <v>-0.20875981025783</v>
      </c>
      <c r="I33" s="74">
        <v>-0.10564285720346001</v>
      </c>
      <c r="J33" s="74">
        <v>-6.9777326250569996E-2</v>
      </c>
      <c r="K33" s="74">
        <v>-6.9014759023150005E-2</v>
      </c>
      <c r="L33" s="74">
        <v>-7.5928927575E-4</v>
      </c>
      <c r="M33" s="74">
        <v>0.11907353156055001</v>
      </c>
      <c r="N33" s="74">
        <v>0.12531466285713999</v>
      </c>
      <c r="O33" s="74">
        <v>0.11416456322144</v>
      </c>
      <c r="P33" s="74">
        <v>0.16518444506151</v>
      </c>
      <c r="Q33" s="74">
        <v>-5.2583288750240001E-2</v>
      </c>
      <c r="R33" s="74">
        <v>-2.4514515613789999E-2</v>
      </c>
      <c r="S33" s="74">
        <v>3.096859362453E-2</v>
      </c>
      <c r="T33" s="74">
        <v>-0.19507802005343</v>
      </c>
      <c r="U33" s="74">
        <v>-0.55406505773876003</v>
      </c>
      <c r="V33" s="74">
        <v>-0.39524157097489998</v>
      </c>
      <c r="W33" s="74">
        <v>-0.23281865095834001</v>
      </c>
      <c r="X33" s="74">
        <v>-0.26234482191859998</v>
      </c>
      <c r="Y33" s="74">
        <v>-0.19860610345060001</v>
      </c>
      <c r="Z33" s="74">
        <v>-0.12032208750061001</v>
      </c>
      <c r="AA33" s="74">
        <v>-0.1715854531113</v>
      </c>
      <c r="AB33" s="74">
        <v>-0.16401839272747001</v>
      </c>
      <c r="AC33" s="74">
        <v>-0.19721260267428001</v>
      </c>
      <c r="AD33" s="74">
        <v>-0.1468802203657</v>
      </c>
      <c r="AE33" s="7">
        <v>-0.11652749026516999</v>
      </c>
      <c r="AF33" s="20">
        <f t="shared" si="1"/>
        <v>1.1924408024931272</v>
      </c>
      <c r="AG33" s="76">
        <f t="shared" si="0"/>
        <v>0.18343416735888168</v>
      </c>
      <c r="AH33" s="76" t="str">
        <f>IFERROR(VLOOKUP(AJ33,Area_CLCL!$A$5:$E$51,5),"")</f>
        <v/>
      </c>
      <c r="AI33" s="76" t="str">
        <f t="shared" ca="1" si="2"/>
        <v/>
      </c>
      <c r="AJ33" s="76"/>
    </row>
    <row r="34" spans="1:36" x14ac:dyDescent="0.3">
      <c r="A34" s="76" t="s">
        <v>266</v>
      </c>
      <c r="B34" s="74">
        <v>5.6734432794700003E-3</v>
      </c>
      <c r="C34" s="74">
        <v>5.6734432794700003E-3</v>
      </c>
      <c r="D34" s="74">
        <v>-3.9355843577909999E-2</v>
      </c>
      <c r="E34" s="74">
        <v>-8.4392645545330006E-2</v>
      </c>
      <c r="F34" s="74">
        <v>-0.12943696450427999</v>
      </c>
      <c r="G34" s="74">
        <v>-0.17448880233690001</v>
      </c>
      <c r="H34" s="74">
        <v>-0.21959769635255999</v>
      </c>
      <c r="I34" s="74">
        <v>-0.31908855688172999</v>
      </c>
      <c r="J34" s="74">
        <v>-0.41863506106891002</v>
      </c>
      <c r="K34" s="74">
        <v>-0.51818156525610004</v>
      </c>
      <c r="L34" s="74">
        <v>-0.61772806944328995</v>
      </c>
      <c r="M34" s="74">
        <v>-0.71733021728848001</v>
      </c>
      <c r="N34" s="74">
        <v>-0.67298222185126</v>
      </c>
      <c r="O34" s="74">
        <v>-0.62868987007206001</v>
      </c>
      <c r="P34" s="74">
        <v>-0.58439751829285003</v>
      </c>
      <c r="Q34" s="74">
        <v>-0.54010516651365004</v>
      </c>
      <c r="R34" s="74">
        <v>-0.49581281473444</v>
      </c>
      <c r="S34" s="74">
        <v>-0.45152046295523002</v>
      </c>
      <c r="T34" s="74">
        <v>-0.40722811117603003</v>
      </c>
      <c r="U34" s="74">
        <v>-0.36293575939681999</v>
      </c>
      <c r="V34" s="74">
        <v>-0.31864340761762</v>
      </c>
      <c r="W34" s="74">
        <v>-0.32295579111370998</v>
      </c>
      <c r="X34" s="74">
        <v>-0.32726817460980001</v>
      </c>
      <c r="Y34" s="74">
        <v>-0.33158055810588999</v>
      </c>
      <c r="Z34" s="74">
        <v>-0.33589294160198002</v>
      </c>
      <c r="AA34" s="74">
        <v>-0.34020532509807</v>
      </c>
      <c r="AB34" s="74">
        <v>-0.33618051304879998</v>
      </c>
      <c r="AC34" s="74">
        <v>-0.33214623560180001</v>
      </c>
      <c r="AD34" s="74">
        <v>-0.32813021702838002</v>
      </c>
      <c r="AE34" s="7">
        <v>-0.32413255794541002</v>
      </c>
      <c r="AF34" s="20">
        <f t="shared" si="1"/>
        <v>0.49616566129352624</v>
      </c>
      <c r="AG34" s="76">
        <f t="shared" si="0"/>
        <v>0.18261239650294603</v>
      </c>
      <c r="AH34" s="76" t="str">
        <f>IFERROR(VLOOKUP(AJ34,Area_CLCL!$A$5:$E$51,5),"")</f>
        <v/>
      </c>
      <c r="AI34" s="76" t="str">
        <f t="shared" ca="1" si="2"/>
        <v/>
      </c>
      <c r="AJ34" s="76"/>
    </row>
    <row r="35" spans="1:36" x14ac:dyDescent="0.3">
      <c r="A35" s="76" t="s">
        <v>267</v>
      </c>
      <c r="B35" s="76" t="s">
        <v>52</v>
      </c>
      <c r="C35" s="76" t="s">
        <v>52</v>
      </c>
      <c r="D35" s="76" t="s">
        <v>52</v>
      </c>
      <c r="E35" s="76" t="s">
        <v>52</v>
      </c>
      <c r="F35" s="76" t="s">
        <v>52</v>
      </c>
      <c r="G35" s="76" t="s">
        <v>52</v>
      </c>
      <c r="H35" s="76" t="s">
        <v>52</v>
      </c>
      <c r="I35" s="76" t="s">
        <v>52</v>
      </c>
      <c r="J35" s="76" t="s">
        <v>52</v>
      </c>
      <c r="K35" s="76" t="s">
        <v>52</v>
      </c>
      <c r="L35" s="76" t="s">
        <v>52</v>
      </c>
      <c r="M35" s="76" t="s">
        <v>52</v>
      </c>
      <c r="N35" s="76" t="s">
        <v>52</v>
      </c>
      <c r="O35" s="76" t="s">
        <v>52</v>
      </c>
      <c r="P35" s="76" t="s">
        <v>52</v>
      </c>
      <c r="Q35" s="76" t="s">
        <v>52</v>
      </c>
      <c r="R35" s="76" t="s">
        <v>52</v>
      </c>
      <c r="S35" s="76" t="s">
        <v>52</v>
      </c>
      <c r="T35" s="76" t="s">
        <v>52</v>
      </c>
      <c r="U35" s="76" t="s">
        <v>52</v>
      </c>
      <c r="V35" s="76" t="s">
        <v>52</v>
      </c>
      <c r="W35" s="76" t="s">
        <v>52</v>
      </c>
      <c r="X35" s="76" t="s">
        <v>52</v>
      </c>
      <c r="Y35" s="76" t="s">
        <v>52</v>
      </c>
      <c r="Z35" s="76" t="s">
        <v>52</v>
      </c>
      <c r="AA35" s="76" t="s">
        <v>52</v>
      </c>
      <c r="AB35" s="76" t="s">
        <v>52</v>
      </c>
      <c r="AC35" s="76" t="s">
        <v>52</v>
      </c>
      <c r="AD35" s="76" t="s">
        <v>52</v>
      </c>
      <c r="AE35" s="5" t="s">
        <v>52</v>
      </c>
      <c r="AF35" s="20" t="e">
        <f t="shared" si="1"/>
        <v>#DIV/0!</v>
      </c>
      <c r="AG35" s="76">
        <f t="shared" si="0"/>
        <v>0</v>
      </c>
      <c r="AH35" s="76">
        <f>IFERROR(VLOOKUP(AJ35,Area_CLCL!$A$5:$E$51,5),"")</f>
        <v>1</v>
      </c>
      <c r="AI35" s="76">
        <f t="shared" ca="1" si="2"/>
        <v>1303.99</v>
      </c>
      <c r="AJ35" s="76" t="s">
        <v>41</v>
      </c>
    </row>
    <row r="36" spans="1:36" x14ac:dyDescent="0.3">
      <c r="A36" s="76" t="s">
        <v>268</v>
      </c>
      <c r="B36" s="76" t="s">
        <v>23</v>
      </c>
      <c r="C36" s="76" t="s">
        <v>23</v>
      </c>
      <c r="D36" s="76" t="s">
        <v>23</v>
      </c>
      <c r="E36" s="76" t="s">
        <v>23</v>
      </c>
      <c r="F36" s="76" t="s">
        <v>23</v>
      </c>
      <c r="G36" s="76" t="s">
        <v>23</v>
      </c>
      <c r="H36" s="76" t="s">
        <v>23</v>
      </c>
      <c r="I36" s="76" t="s">
        <v>23</v>
      </c>
      <c r="J36" s="76" t="s">
        <v>23</v>
      </c>
      <c r="K36" s="76" t="s">
        <v>23</v>
      </c>
      <c r="L36" s="76" t="s">
        <v>23</v>
      </c>
      <c r="M36" s="76" t="s">
        <v>23</v>
      </c>
      <c r="N36" s="76" t="s">
        <v>23</v>
      </c>
      <c r="O36" s="76" t="s">
        <v>23</v>
      </c>
      <c r="P36" s="76" t="s">
        <v>23</v>
      </c>
      <c r="Q36" s="76" t="s">
        <v>23</v>
      </c>
      <c r="R36" s="76" t="s">
        <v>23</v>
      </c>
      <c r="S36" s="76" t="s">
        <v>23</v>
      </c>
      <c r="T36" s="76" t="s">
        <v>23</v>
      </c>
      <c r="U36" s="76" t="s">
        <v>23</v>
      </c>
      <c r="V36" s="76" t="s">
        <v>23</v>
      </c>
      <c r="W36" s="76" t="s">
        <v>23</v>
      </c>
      <c r="X36" s="76" t="s">
        <v>23</v>
      </c>
      <c r="Y36" s="76" t="s">
        <v>23</v>
      </c>
      <c r="Z36" s="76" t="s">
        <v>23</v>
      </c>
      <c r="AA36" s="76" t="s">
        <v>23</v>
      </c>
      <c r="AB36" s="76" t="s">
        <v>23</v>
      </c>
      <c r="AC36" s="76" t="s">
        <v>23</v>
      </c>
      <c r="AD36" s="76" t="s">
        <v>23</v>
      </c>
      <c r="AE36" s="5" t="s">
        <v>23</v>
      </c>
      <c r="AF36" s="20" t="e">
        <f t="shared" si="1"/>
        <v>#DIV/0!</v>
      </c>
      <c r="AG36" s="76">
        <f t="shared" si="0"/>
        <v>0</v>
      </c>
      <c r="AH36" s="76" t="str">
        <f>IFERROR(VLOOKUP(AJ36,Area_CLCL!$A$5:$E$51,5),"")</f>
        <v/>
      </c>
      <c r="AI36" s="76" t="str">
        <f t="shared" ca="1" si="2"/>
        <v/>
      </c>
      <c r="AJ36" s="76"/>
    </row>
    <row r="37" spans="1:36" x14ac:dyDescent="0.3">
      <c r="A37" s="76" t="s">
        <v>269</v>
      </c>
      <c r="B37" s="76" t="s">
        <v>270</v>
      </c>
      <c r="C37" s="76" t="s">
        <v>270</v>
      </c>
      <c r="D37" s="74">
        <v>-7.7749352731E-4</v>
      </c>
      <c r="E37" s="74">
        <v>-1.55946957712E-3</v>
      </c>
      <c r="F37" s="74">
        <v>-2.3452890013200001E-3</v>
      </c>
      <c r="G37" s="74">
        <v>-3.1352071649099998E-3</v>
      </c>
      <c r="H37" s="74">
        <v>-3.9281149891399999E-3</v>
      </c>
      <c r="I37" s="74">
        <v>-4.7164777358699997E-3</v>
      </c>
      <c r="J37" s="74">
        <v>-4.1439728170300002E-3</v>
      </c>
      <c r="K37" s="74">
        <v>-2.8288109397800001E-3</v>
      </c>
      <c r="L37" s="74">
        <v>-3.6002247369899998E-3</v>
      </c>
      <c r="M37" s="74">
        <v>-3.9271750125400001E-3</v>
      </c>
      <c r="N37" s="74">
        <v>-2.50680919854E-3</v>
      </c>
      <c r="O37" s="74">
        <v>-1.5512869261899999E-3</v>
      </c>
      <c r="P37" s="74">
        <v>1.202838139007E-2</v>
      </c>
      <c r="Q37" s="74">
        <v>3.0012161371209999E-2</v>
      </c>
      <c r="R37" s="74">
        <v>5.2915862846809998E-2</v>
      </c>
      <c r="S37" s="74">
        <v>7.5622985790869998E-2</v>
      </c>
      <c r="T37" s="74">
        <v>0.10060230829869</v>
      </c>
      <c r="U37" s="74">
        <v>0.10240038878903</v>
      </c>
      <c r="V37" s="74">
        <v>0.10872555982467</v>
      </c>
      <c r="W37" s="74">
        <v>0.12447179168871</v>
      </c>
      <c r="X37" s="74">
        <v>0.13509717970030999</v>
      </c>
      <c r="Y37" s="74">
        <v>0.14528218696963999</v>
      </c>
      <c r="Z37" s="74">
        <v>0.15002820663458999</v>
      </c>
      <c r="AA37" s="74">
        <v>0.15010530368624</v>
      </c>
      <c r="AB37" s="74">
        <v>0.20020091948488</v>
      </c>
      <c r="AC37" s="74">
        <v>0.20586779620508999</v>
      </c>
      <c r="AD37" s="74">
        <v>0.21716158188473</v>
      </c>
      <c r="AE37" s="7">
        <v>0.21928421495976</v>
      </c>
      <c r="AF37" s="20">
        <f t="shared" si="1"/>
        <v>1.1332064425797759</v>
      </c>
      <c r="AG37" s="76">
        <f t="shared" si="0"/>
        <v>8.0732318249635615E-2</v>
      </c>
      <c r="AH37" s="76">
        <f>IFERROR(VLOOKUP(AJ37,Area_CLCL!$A$5:$E$51,5),"")</f>
        <v>1</v>
      </c>
      <c r="AI37" s="76">
        <f t="shared" ca="1" si="2"/>
        <v>1268.1400000000001</v>
      </c>
      <c r="AJ37" s="76" t="s">
        <v>271</v>
      </c>
    </row>
    <row r="38" spans="1:36" x14ac:dyDescent="0.3">
      <c r="A38" s="76" t="s">
        <v>272</v>
      </c>
      <c r="B38" s="74">
        <v>7.2637933585999995E-4</v>
      </c>
      <c r="C38" s="74">
        <v>7.2637933585999995E-4</v>
      </c>
      <c r="D38" s="74">
        <v>7.2943451103999997E-4</v>
      </c>
      <c r="E38" s="74">
        <v>7.3251549510999997E-4</v>
      </c>
      <c r="F38" s="74">
        <v>7.3562261647999998E-4</v>
      </c>
      <c r="G38" s="74">
        <v>7.3875620917999995E-4</v>
      </c>
      <c r="H38" s="74">
        <v>7.4191661293999999E-4</v>
      </c>
      <c r="I38" s="74">
        <v>7.4510417333E-4</v>
      </c>
      <c r="J38" s="74">
        <v>7.4831924189E-4</v>
      </c>
      <c r="K38" s="74">
        <v>7.5156217625000005E-4</v>
      </c>
      <c r="L38" s="74">
        <v>7.5483334025999997E-4</v>
      </c>
      <c r="M38" s="74">
        <v>7.7434846903999999E-4</v>
      </c>
      <c r="N38" s="74">
        <v>7.9404915719999999E-4</v>
      </c>
      <c r="O38" s="74">
        <v>8.1393806394999997E-4</v>
      </c>
      <c r="P38" s="74">
        <v>8.3401789960000001E-4</v>
      </c>
      <c r="Q38" s="74">
        <v>8.5429142669000003E-4</v>
      </c>
      <c r="R38" s="74">
        <v>8.7476146135999995E-4</v>
      </c>
      <c r="S38" s="74">
        <v>8.9543087459000004E-4</v>
      </c>
      <c r="T38" s="74">
        <v>9.1630259356E-4</v>
      </c>
      <c r="U38" s="74">
        <v>8.7691197999000003E-4</v>
      </c>
      <c r="V38" s="74">
        <v>8.3743412919000003E-4</v>
      </c>
      <c r="W38" s="74">
        <v>7.9905271908000005E-4</v>
      </c>
      <c r="X38" s="74">
        <v>7.5981441307000001E-4</v>
      </c>
      <c r="Y38" s="74">
        <v>7.2051364272000004E-4</v>
      </c>
      <c r="Z38" s="74">
        <v>6.7636299299999995E-4</v>
      </c>
      <c r="AA38" s="74">
        <v>6.3128391319999995E-4</v>
      </c>
      <c r="AB38" s="74">
        <v>5.9175689893000002E-4</v>
      </c>
      <c r="AC38" s="74">
        <v>5.5255567560999995E-4</v>
      </c>
      <c r="AD38" s="74">
        <v>5.1569197073999997E-4</v>
      </c>
      <c r="AE38" s="7">
        <v>4.7832709187999999E-4</v>
      </c>
      <c r="AF38" s="20">
        <f t="shared" si="1"/>
        <v>0.14558567740429634</v>
      </c>
      <c r="AG38" s="76">
        <f t="shared" si="0"/>
        <v>1.0844270015012038E-4</v>
      </c>
      <c r="AH38" s="76">
        <f>IFERROR(VLOOKUP(AJ38,Area_CLCL!$A$5:$E$51,5),"")</f>
        <v>1</v>
      </c>
      <c r="AI38" s="76">
        <f t="shared" ca="1" si="2"/>
        <v>53.75</v>
      </c>
      <c r="AJ38" s="76" t="s">
        <v>43</v>
      </c>
    </row>
    <row r="39" spans="1:36" x14ac:dyDescent="0.3">
      <c r="A39" s="76" t="s">
        <v>273</v>
      </c>
      <c r="B39" s="74">
        <v>4.7942517343900003E-2</v>
      </c>
      <c r="C39" s="74">
        <v>4.7942517343900003E-2</v>
      </c>
      <c r="D39" s="74">
        <v>4.917971014493E-2</v>
      </c>
      <c r="E39" s="74">
        <v>5.3830382106239999E-2</v>
      </c>
      <c r="F39" s="74">
        <v>5.811061151079E-2</v>
      </c>
      <c r="G39" s="74">
        <v>5.7670785525150002E-2</v>
      </c>
      <c r="H39" s="74">
        <v>6.1656703672080003E-2</v>
      </c>
      <c r="I39" s="74">
        <v>6.117617449664E-2</v>
      </c>
      <c r="J39" s="74">
        <v>6.4862601626020006E-2</v>
      </c>
      <c r="K39" s="74">
        <v>6.5714626391099998E-2</v>
      </c>
      <c r="L39" s="74">
        <v>8.0317498020590003E-2</v>
      </c>
      <c r="M39" s="74">
        <v>8.3243658724060005E-2</v>
      </c>
      <c r="N39" s="74">
        <v>9.5326562500000003E-2</v>
      </c>
      <c r="O39" s="74">
        <v>9.5484918793500004E-2</v>
      </c>
      <c r="P39" s="74">
        <v>8.9214231063500002E-2</v>
      </c>
      <c r="Q39" s="74">
        <v>8.3076457229370002E-2</v>
      </c>
      <c r="R39" s="74">
        <v>7.7009730538920004E-2</v>
      </c>
      <c r="S39" s="74">
        <v>7.1130370370369997E-2</v>
      </c>
      <c r="T39" s="74">
        <v>6.5323809523810006E-2</v>
      </c>
      <c r="U39" s="74">
        <v>6.0210680321869998E-2</v>
      </c>
      <c r="V39" s="74">
        <v>5.515277777778E-2</v>
      </c>
      <c r="W39" s="74">
        <v>5.0065693430660002E-2</v>
      </c>
      <c r="X39" s="74">
        <v>4.4993440233239999E-2</v>
      </c>
      <c r="Y39" s="74">
        <v>3.9935953420670002E-2</v>
      </c>
      <c r="Z39" s="74">
        <v>3.4893168604649999E-2</v>
      </c>
      <c r="AA39" s="74">
        <v>2.9865021770680001E-2</v>
      </c>
      <c r="AB39" s="74">
        <v>2.485144927536E-2</v>
      </c>
      <c r="AC39" s="74">
        <v>1.9852387843700001E-2</v>
      </c>
      <c r="AD39" s="74">
        <v>1.486777456647E-2</v>
      </c>
      <c r="AE39" s="7">
        <v>9.8975468975499997E-3</v>
      </c>
      <c r="AF39" s="20">
        <f t="shared" si="1"/>
        <v>0.40845860744296858</v>
      </c>
      <c r="AG39" s="76">
        <f t="shared" si="0"/>
        <v>2.3167451697028323E-2</v>
      </c>
      <c r="AH39" s="76">
        <f>IFERROR(VLOOKUP(AJ39,Area_CLCL!$A$5:$E$51,5),"")</f>
        <v>1</v>
      </c>
      <c r="AI39" s="76">
        <f t="shared" ca="1" si="2"/>
        <v>1.39</v>
      </c>
      <c r="AJ39" s="76" t="s">
        <v>44</v>
      </c>
    </row>
    <row r="40" spans="1:36" x14ac:dyDescent="0.3">
      <c r="A40" s="76" t="s">
        <v>274</v>
      </c>
      <c r="B40" s="76" t="s">
        <v>23</v>
      </c>
      <c r="C40" s="76" t="s">
        <v>23</v>
      </c>
      <c r="D40" s="76" t="s">
        <v>23</v>
      </c>
      <c r="E40" s="76" t="s">
        <v>23</v>
      </c>
      <c r="F40" s="76" t="s">
        <v>23</v>
      </c>
      <c r="G40" s="76" t="s">
        <v>23</v>
      </c>
      <c r="H40" s="76" t="s">
        <v>23</v>
      </c>
      <c r="I40" s="76" t="s">
        <v>23</v>
      </c>
      <c r="J40" s="76" t="s">
        <v>23</v>
      </c>
      <c r="K40" s="76" t="s">
        <v>23</v>
      </c>
      <c r="L40" s="76" t="s">
        <v>23</v>
      </c>
      <c r="M40" s="76" t="s">
        <v>23</v>
      </c>
      <c r="N40" s="76" t="s">
        <v>23</v>
      </c>
      <c r="O40" s="76" t="s">
        <v>23</v>
      </c>
      <c r="P40" s="76" t="s">
        <v>23</v>
      </c>
      <c r="Q40" s="76" t="s">
        <v>23</v>
      </c>
      <c r="R40" s="76" t="s">
        <v>23</v>
      </c>
      <c r="S40" s="76" t="s">
        <v>23</v>
      </c>
      <c r="T40" s="76" t="s">
        <v>23</v>
      </c>
      <c r="U40" s="76" t="s">
        <v>23</v>
      </c>
      <c r="V40" s="76" t="s">
        <v>23</v>
      </c>
      <c r="W40" s="76" t="s">
        <v>23</v>
      </c>
      <c r="X40" s="76" t="s">
        <v>23</v>
      </c>
      <c r="Y40" s="76" t="s">
        <v>23</v>
      </c>
      <c r="Z40" s="76" t="s">
        <v>23</v>
      </c>
      <c r="AA40" s="76" t="s">
        <v>23</v>
      </c>
      <c r="AB40" s="76" t="s">
        <v>23</v>
      </c>
      <c r="AC40" s="76" t="s">
        <v>23</v>
      </c>
      <c r="AD40" s="76" t="s">
        <v>23</v>
      </c>
      <c r="AE40" s="5" t="s">
        <v>23</v>
      </c>
      <c r="AF40" s="20" t="e">
        <f t="shared" si="1"/>
        <v>#DIV/0!</v>
      </c>
      <c r="AG40" s="76">
        <f t="shared" si="0"/>
        <v>0</v>
      </c>
      <c r="AH40" s="76" t="str">
        <f>IFERROR(VLOOKUP(AJ40,Area_CLCL!$A$5:$E$51,5),"")</f>
        <v/>
      </c>
      <c r="AI40" s="76" t="str">
        <f t="shared" ca="1" si="2"/>
        <v/>
      </c>
      <c r="AJ40" s="76"/>
    </row>
    <row r="41" spans="1:36" x14ac:dyDescent="0.3">
      <c r="A41" s="76" t="s">
        <v>275</v>
      </c>
      <c r="B41" s="76" t="s">
        <v>52</v>
      </c>
      <c r="C41" s="76" t="s">
        <v>52</v>
      </c>
      <c r="D41" s="76" t="s">
        <v>52</v>
      </c>
      <c r="E41" s="76" t="s">
        <v>52</v>
      </c>
      <c r="F41" s="76" t="s">
        <v>52</v>
      </c>
      <c r="G41" s="76" t="s">
        <v>52</v>
      </c>
      <c r="H41" s="76" t="s">
        <v>52</v>
      </c>
      <c r="I41" s="76" t="s">
        <v>52</v>
      </c>
      <c r="J41" s="76" t="s">
        <v>52</v>
      </c>
      <c r="K41" s="76" t="s">
        <v>52</v>
      </c>
      <c r="L41" s="76" t="s">
        <v>52</v>
      </c>
      <c r="M41" s="76" t="s">
        <v>52</v>
      </c>
      <c r="N41" s="76" t="s">
        <v>52</v>
      </c>
      <c r="O41" s="76" t="s">
        <v>52</v>
      </c>
      <c r="P41" s="76" t="s">
        <v>52</v>
      </c>
      <c r="Q41" s="76" t="s">
        <v>52</v>
      </c>
      <c r="R41" s="76" t="s">
        <v>52</v>
      </c>
      <c r="S41" s="76" t="s">
        <v>52</v>
      </c>
      <c r="T41" s="76" t="s">
        <v>52</v>
      </c>
      <c r="U41" s="76" t="s">
        <v>52</v>
      </c>
      <c r="V41" s="76" t="s">
        <v>52</v>
      </c>
      <c r="W41" s="76" t="s">
        <v>52</v>
      </c>
      <c r="X41" s="76" t="s">
        <v>52</v>
      </c>
      <c r="Y41" s="76" t="s">
        <v>52</v>
      </c>
      <c r="Z41" s="76" t="s">
        <v>52</v>
      </c>
      <c r="AA41" s="76" t="s">
        <v>52</v>
      </c>
      <c r="AB41" s="76" t="s">
        <v>52</v>
      </c>
      <c r="AC41" s="76" t="s">
        <v>52</v>
      </c>
      <c r="AD41" s="76" t="s">
        <v>52</v>
      </c>
      <c r="AE41" s="5" t="s">
        <v>52</v>
      </c>
      <c r="AF41" s="20" t="e">
        <f t="shared" si="1"/>
        <v>#DIV/0!</v>
      </c>
      <c r="AG41" s="76">
        <f t="shared" si="0"/>
        <v>0</v>
      </c>
      <c r="AH41" s="76">
        <f>IFERROR(VLOOKUP(AJ41,Area_CLCL!$A$5:$E$51,5),"")</f>
        <v>1</v>
      </c>
      <c r="AI41" s="76">
        <f t="shared" ca="1" si="2"/>
        <v>509.9</v>
      </c>
      <c r="AJ41" s="76" t="s">
        <v>45</v>
      </c>
    </row>
    <row r="42" spans="1:36" x14ac:dyDescent="0.3">
      <c r="A42" s="76" t="s">
        <v>276</v>
      </c>
      <c r="B42" s="74">
        <v>-1.5006125940999999E-4</v>
      </c>
      <c r="C42" s="74">
        <v>-1.5006125940999999E-4</v>
      </c>
      <c r="D42" s="74">
        <v>-1.8592565438000001E-4</v>
      </c>
      <c r="E42" s="74">
        <v>-2.2160409873000001E-4</v>
      </c>
      <c r="F42" s="74">
        <v>-2.5709466657999999E-4</v>
      </c>
      <c r="G42" s="74">
        <v>-2.9241127457999998E-4</v>
      </c>
      <c r="H42" s="74">
        <v>-3.2753383649999999E-4</v>
      </c>
      <c r="I42" s="74">
        <v>-3.6247218438999998E-4</v>
      </c>
      <c r="J42" s="74">
        <v>-3.9819336544000001E-4</v>
      </c>
      <c r="K42" s="74">
        <v>-4.3372798737999999E-4</v>
      </c>
      <c r="L42" s="74">
        <v>-4.6907534156999999E-4</v>
      </c>
      <c r="M42" s="74">
        <v>-5.0423861522E-4</v>
      </c>
      <c r="N42" s="74">
        <v>-5.3921767596000003E-4</v>
      </c>
      <c r="O42" s="74">
        <v>-5.7303223236999999E-4</v>
      </c>
      <c r="P42" s="74">
        <v>-6.0666588213999998E-4</v>
      </c>
      <c r="Q42" s="74">
        <v>-6.4011322986999998E-4</v>
      </c>
      <c r="R42" s="74">
        <v>-6.7337699985999997E-4</v>
      </c>
      <c r="S42" s="74">
        <v>-7.0645899997000001E-4</v>
      </c>
      <c r="T42" s="74">
        <v>-7.3936663850000003E-4</v>
      </c>
      <c r="U42" s="74">
        <v>-7.5936721572999999E-4</v>
      </c>
      <c r="V42" s="74">
        <v>-7.7925396795999996E-4</v>
      </c>
      <c r="W42" s="74">
        <v>-7.6454081037000002E-4</v>
      </c>
      <c r="X42" s="74">
        <v>-7.4991114884999995E-4</v>
      </c>
      <c r="Y42" s="74">
        <v>-7.3536508228999999E-4</v>
      </c>
      <c r="Z42" s="74">
        <v>-6.9349474416000002E-4</v>
      </c>
      <c r="AA42" s="74">
        <v>-6.5189741988999996E-4</v>
      </c>
      <c r="AB42" s="74">
        <v>-6.1057044790000002E-4</v>
      </c>
      <c r="AC42" s="74">
        <v>-5.6951120107999996E-4</v>
      </c>
      <c r="AD42" s="74">
        <v>-5.2866185859999995E-4</v>
      </c>
      <c r="AE42" s="7">
        <v>-4.8611302674999999E-4</v>
      </c>
      <c r="AF42" s="20">
        <f t="shared" si="1"/>
        <v>0.35851643140707823</v>
      </c>
      <c r="AG42" s="76">
        <f t="shared" si="0"/>
        <v>1.9049902697887929E-4</v>
      </c>
      <c r="AH42" s="76" t="str">
        <f>IFERROR(VLOOKUP(AJ42,Area_CLCL!$A$5:$E$51,5),"")</f>
        <v/>
      </c>
      <c r="AI42" s="76" t="str">
        <f t="shared" ca="1" si="2"/>
        <v/>
      </c>
      <c r="AJ42" s="76"/>
    </row>
    <row r="43" spans="1:36" x14ac:dyDescent="0.3">
      <c r="A43" s="76" t="s">
        <v>277</v>
      </c>
      <c r="B43" s="74">
        <v>1.01665679487E-3</v>
      </c>
      <c r="C43" s="74">
        <v>1.01665679487E-3</v>
      </c>
      <c r="D43" s="74">
        <v>2.6200972172899998E-3</v>
      </c>
      <c r="E43" s="74">
        <v>4.6858012910300003E-3</v>
      </c>
      <c r="F43" s="74">
        <v>4.8376154076100004E-3</v>
      </c>
      <c r="G43" s="74">
        <v>6.4260679622800002E-3</v>
      </c>
      <c r="H43" s="74">
        <v>6.0299319747599998E-3</v>
      </c>
      <c r="I43" s="74">
        <v>7.8013711941799999E-3</v>
      </c>
      <c r="J43" s="74">
        <v>6.1567593820100004E-3</v>
      </c>
      <c r="K43" s="74">
        <v>6.8520284133100004E-3</v>
      </c>
      <c r="L43" s="74">
        <v>8.6258633459000006E-3</v>
      </c>
      <c r="M43" s="74">
        <v>3.4197619558300001E-3</v>
      </c>
      <c r="N43" s="74">
        <v>2.8131268575699998E-3</v>
      </c>
      <c r="O43" s="74">
        <v>2.1562332037999999E-3</v>
      </c>
      <c r="P43" s="74">
        <v>4.6766154785699999E-3</v>
      </c>
      <c r="Q43" s="74">
        <v>4.6271818991699999E-3</v>
      </c>
      <c r="R43" s="74">
        <v>5.6442932981000003E-3</v>
      </c>
      <c r="S43" s="74">
        <v>5.3321285640499996E-3</v>
      </c>
      <c r="T43" s="74">
        <v>7.0019136240299998E-3</v>
      </c>
      <c r="U43" s="74">
        <v>7.7640019649999996E-3</v>
      </c>
      <c r="V43" s="74">
        <v>9.6760284646000005E-3</v>
      </c>
      <c r="W43" s="74">
        <v>1.0398366406E-2</v>
      </c>
      <c r="X43" s="74">
        <v>8.5490801609599994E-3</v>
      </c>
      <c r="Y43" s="74">
        <v>1.081857279107E-2</v>
      </c>
      <c r="Z43" s="74">
        <v>1.3730942577910001E-2</v>
      </c>
      <c r="AA43" s="74">
        <v>1.439067651139E-2</v>
      </c>
      <c r="AB43" s="74">
        <v>1.438713965109E-2</v>
      </c>
      <c r="AC43" s="74">
        <v>1.519106925405E-2</v>
      </c>
      <c r="AD43" s="74">
        <v>1.7525242133610001E-2</v>
      </c>
      <c r="AE43" s="7">
        <v>1.6594068773349999E-2</v>
      </c>
      <c r="AF43" s="20">
        <f t="shared" si="1"/>
        <v>0.57239471313668</v>
      </c>
      <c r="AG43" s="76">
        <f t="shared" si="0"/>
        <v>4.5347208590869317E-3</v>
      </c>
      <c r="AH43" s="76" t="str">
        <f>IFERROR(VLOOKUP(AJ43,Area_CLCL!$A$5:$E$51,5),"")</f>
        <v/>
      </c>
      <c r="AI43" s="76" t="str">
        <f t="shared" ca="1" si="2"/>
        <v/>
      </c>
      <c r="AJ43" s="76"/>
    </row>
    <row r="44" spans="1:36" x14ac:dyDescent="0.3">
      <c r="A44" s="76" t="s">
        <v>278</v>
      </c>
      <c r="B44" s="74">
        <v>-1.8896902865399999E-3</v>
      </c>
      <c r="C44" s="74">
        <v>-2.0615442537600002E-3</v>
      </c>
      <c r="D44" s="74">
        <v>-2.3977858753299998E-3</v>
      </c>
      <c r="E44" s="74">
        <v>-2.7373090578199999E-3</v>
      </c>
      <c r="F44" s="74">
        <v>-3.0800026716200002E-3</v>
      </c>
      <c r="G44" s="74">
        <v>-3.4256522947799998E-3</v>
      </c>
      <c r="H44" s="74">
        <v>-3.7741320862399999E-3</v>
      </c>
      <c r="I44" s="74">
        <v>-4.1249169387300002E-3</v>
      </c>
      <c r="J44" s="74">
        <v>-4.2236603368099998E-3</v>
      </c>
      <c r="K44" s="74">
        <v>-4.3233763102200002E-3</v>
      </c>
      <c r="L44" s="74">
        <v>-4.4244496826899996E-3</v>
      </c>
      <c r="M44" s="74">
        <v>-4.7944213807500002E-3</v>
      </c>
      <c r="N44" s="74">
        <v>-4.64864501729E-3</v>
      </c>
      <c r="O44" s="74">
        <v>-4.5026560683199997E-3</v>
      </c>
      <c r="P44" s="74">
        <v>-4.3554000452999996E-3</v>
      </c>
      <c r="Q44" s="74">
        <v>-4.2074092503400001E-3</v>
      </c>
      <c r="R44" s="74">
        <v>-4.05876270355E-3</v>
      </c>
      <c r="S44" s="74">
        <v>-3.9779727530300001E-3</v>
      </c>
      <c r="T44" s="74">
        <v>-3.8969262745000002E-3</v>
      </c>
      <c r="U44" s="74">
        <v>-3.8153445707199999E-3</v>
      </c>
      <c r="V44" s="74">
        <v>-3.7335788190899998E-3</v>
      </c>
      <c r="W44" s="74">
        <v>-3.6451098355600002E-3</v>
      </c>
      <c r="X44" s="74">
        <v>-3.30883464131E-3</v>
      </c>
      <c r="Y44" s="74">
        <v>-2.9693602502699999E-3</v>
      </c>
      <c r="Z44" s="74">
        <v>-2.6271055213999998E-3</v>
      </c>
      <c r="AA44" s="74">
        <v>-2.28154403027E-3</v>
      </c>
      <c r="AB44" s="74">
        <v>-1.93353006225E-3</v>
      </c>
      <c r="AC44" s="74">
        <v>-1.5824999830300001E-3</v>
      </c>
      <c r="AD44" s="74">
        <v>-1.2288185391799999E-3</v>
      </c>
      <c r="AE44" s="7">
        <v>-8.7303553919000003E-4</v>
      </c>
      <c r="AF44" s="20">
        <f t="shared" si="1"/>
        <v>0.32321887056294824</v>
      </c>
      <c r="AG44" s="76">
        <f t="shared" si="0"/>
        <v>1.0812650327566731E-3</v>
      </c>
      <c r="AH44" s="76">
        <f>IFERROR(VLOOKUP(AJ44,Area_CLCL!$A$5:$E$51,5),"")</f>
        <v>1</v>
      </c>
      <c r="AI44" s="76">
        <f t="shared" ca="1" si="2"/>
        <v>13467.84</v>
      </c>
      <c r="AJ44" s="76" t="s">
        <v>46</v>
      </c>
    </row>
    <row r="45" spans="1:36" x14ac:dyDescent="0.3">
      <c r="A45" s="76" t="s">
        <v>279</v>
      </c>
      <c r="B45" s="76" t="s">
        <v>23</v>
      </c>
      <c r="C45" s="76" t="s">
        <v>23</v>
      </c>
      <c r="D45" s="76" t="s">
        <v>23</v>
      </c>
      <c r="E45" s="76" t="s">
        <v>23</v>
      </c>
      <c r="F45" s="76" t="s">
        <v>23</v>
      </c>
      <c r="G45" s="76" t="s">
        <v>23</v>
      </c>
      <c r="H45" s="76" t="s">
        <v>23</v>
      </c>
      <c r="I45" s="76" t="s">
        <v>23</v>
      </c>
      <c r="J45" s="76" t="s">
        <v>23</v>
      </c>
      <c r="K45" s="76" t="s">
        <v>23</v>
      </c>
      <c r="L45" s="76" t="s">
        <v>23</v>
      </c>
      <c r="M45" s="76" t="s">
        <v>23</v>
      </c>
      <c r="N45" s="76" t="s">
        <v>23</v>
      </c>
      <c r="O45" s="76" t="s">
        <v>23</v>
      </c>
      <c r="P45" s="76" t="s">
        <v>23</v>
      </c>
      <c r="Q45" s="76" t="s">
        <v>23</v>
      </c>
      <c r="R45" s="76" t="s">
        <v>23</v>
      </c>
      <c r="S45" s="76" t="s">
        <v>23</v>
      </c>
      <c r="T45" s="76" t="s">
        <v>23</v>
      </c>
      <c r="U45" s="74">
        <v>1.15378734099E-3</v>
      </c>
      <c r="V45" s="74">
        <v>3.2526464199199999E-3</v>
      </c>
      <c r="W45" s="74">
        <v>7.3942558201600004E-3</v>
      </c>
      <c r="X45" s="74">
        <v>7.8526158656100006E-3</v>
      </c>
      <c r="Y45" s="74">
        <v>8.0850467083500004E-3</v>
      </c>
      <c r="Z45" s="74">
        <v>7.8876833796600009E-3</v>
      </c>
      <c r="AA45" s="74">
        <v>7.3643432216000003E-3</v>
      </c>
      <c r="AB45" s="74">
        <v>8.1673984759999992E-3</v>
      </c>
      <c r="AC45" s="74">
        <v>8.2992734824700008E-3</v>
      </c>
      <c r="AD45" s="74">
        <v>8.3708236550100006E-3</v>
      </c>
      <c r="AE45" s="7">
        <v>7.2545792713500003E-3</v>
      </c>
      <c r="AF45" s="20">
        <f t="shared" si="1"/>
        <v>0.53541041294646674</v>
      </c>
      <c r="AG45" s="76">
        <f t="shared" si="0"/>
        <v>3.654538864456909E-3</v>
      </c>
      <c r="AH45" s="76">
        <f>IFERROR(VLOOKUP(AJ45,Area_CLCL!$A$5:$E$51,5),"")</f>
        <v>1</v>
      </c>
      <c r="AI45" s="76">
        <f t="shared" ca="1" si="2"/>
        <v>2175.02</v>
      </c>
      <c r="AJ45" s="76" t="s">
        <v>48</v>
      </c>
    </row>
    <row r="46" spans="1:36" x14ac:dyDescent="0.3">
      <c r="A46" s="76" t="s">
        <v>280</v>
      </c>
      <c r="B46" s="74">
        <v>8.3573612614390003E-2</v>
      </c>
      <c r="C46" s="74">
        <v>8.3386038036020002E-2</v>
      </c>
      <c r="D46" s="74">
        <v>8.3084845922910003E-2</v>
      </c>
      <c r="E46" s="74">
        <v>8.2781088804309996E-2</v>
      </c>
      <c r="F46" s="74">
        <v>8.2474733774030001E-2</v>
      </c>
      <c r="G46" s="74">
        <v>8.2165728433420002E-2</v>
      </c>
      <c r="H46" s="74">
        <v>8.1854057633370003E-2</v>
      </c>
      <c r="I46" s="74">
        <v>8.1539686736379999E-2</v>
      </c>
      <c r="J46" s="74">
        <v>8.122258050219E-2</v>
      </c>
      <c r="K46" s="74">
        <v>8.0902703074610005E-2</v>
      </c>
      <c r="L46" s="74">
        <v>8.0580017968000003E-2</v>
      </c>
      <c r="M46" s="74">
        <v>8.025448805339E-2</v>
      </c>
      <c r="N46" s="74">
        <v>7.992609542272E-2</v>
      </c>
      <c r="O46" s="74">
        <v>7.9594781750119997E-2</v>
      </c>
      <c r="P46" s="74">
        <v>7.9260507887609993E-2</v>
      </c>
      <c r="Q46" s="74">
        <v>7.892323398454E-2</v>
      </c>
      <c r="R46" s="74">
        <v>7.85829194717E-2</v>
      </c>
      <c r="S46" s="74">
        <v>7.8239523045119996E-2</v>
      </c>
      <c r="T46" s="74">
        <v>7.7893002649309998E-2</v>
      </c>
      <c r="U46" s="74">
        <v>7.7543315460100001E-2</v>
      </c>
      <c r="V46" s="74">
        <v>7.7190417866990005E-2</v>
      </c>
      <c r="W46" s="74">
        <v>7.6834265455060002E-2</v>
      </c>
      <c r="X46" s="74">
        <v>7.6474812986269999E-2</v>
      </c>
      <c r="Y46" s="74">
        <v>7.6112014380370005E-2</v>
      </c>
      <c r="Z46" s="74">
        <v>7.5745822695169995E-2</v>
      </c>
      <c r="AA46" s="74">
        <v>7.5376190106279994E-2</v>
      </c>
      <c r="AB46" s="74">
        <v>7.5003067886330002E-2</v>
      </c>
      <c r="AC46" s="74">
        <v>7.4626406383530006E-2</v>
      </c>
      <c r="AD46" s="74">
        <v>7.4246154999649996E-2</v>
      </c>
      <c r="AE46" s="7">
        <v>7.3857630085570003E-2</v>
      </c>
      <c r="AF46" s="20">
        <f t="shared" si="1"/>
        <v>3.6717680564738682E-2</v>
      </c>
      <c r="AG46" s="76">
        <f t="shared" si="0"/>
        <v>2.893956071352238E-3</v>
      </c>
      <c r="AH46" s="76">
        <f>IFERROR(VLOOKUP(AJ46,Area_CLCL!$A$5:$E$51,5),"")</f>
        <v>1</v>
      </c>
      <c r="AI46" s="76">
        <f t="shared" ca="1" si="2"/>
        <v>7438.11</v>
      </c>
      <c r="AJ46" s="76" t="s">
        <v>49</v>
      </c>
    </row>
    <row r="47" spans="1:36" x14ac:dyDescent="0.3">
      <c r="A47" s="76" t="s">
        <v>281</v>
      </c>
      <c r="B47" s="76" t="s">
        <v>23</v>
      </c>
      <c r="C47" s="76" t="s">
        <v>23</v>
      </c>
      <c r="D47" s="76" t="s">
        <v>23</v>
      </c>
      <c r="E47" s="76" t="s">
        <v>23</v>
      </c>
      <c r="F47" s="76" t="s">
        <v>23</v>
      </c>
      <c r="G47" s="76" t="s">
        <v>23</v>
      </c>
      <c r="H47" s="76" t="s">
        <v>23</v>
      </c>
      <c r="I47" s="76" t="s">
        <v>23</v>
      </c>
      <c r="J47" s="76" t="s">
        <v>23</v>
      </c>
      <c r="K47" s="76" t="s">
        <v>23</v>
      </c>
      <c r="L47" s="76" t="s">
        <v>23</v>
      </c>
      <c r="M47" s="76" t="s">
        <v>23</v>
      </c>
      <c r="N47" s="76" t="s">
        <v>23</v>
      </c>
      <c r="O47" s="76" t="s">
        <v>23</v>
      </c>
      <c r="P47" s="76" t="s">
        <v>23</v>
      </c>
      <c r="Q47" s="76" t="s">
        <v>23</v>
      </c>
      <c r="R47" s="76" t="s">
        <v>23</v>
      </c>
      <c r="S47" s="76" t="s">
        <v>23</v>
      </c>
      <c r="T47" s="76" t="s">
        <v>23</v>
      </c>
      <c r="U47" s="76" t="s">
        <v>23</v>
      </c>
      <c r="V47" s="76" t="s">
        <v>23</v>
      </c>
      <c r="W47" s="76" t="s">
        <v>23</v>
      </c>
      <c r="X47" s="76" t="s">
        <v>23</v>
      </c>
      <c r="Y47" s="76" t="s">
        <v>23</v>
      </c>
      <c r="Z47" s="76" t="s">
        <v>23</v>
      </c>
      <c r="AA47" s="76" t="s">
        <v>23</v>
      </c>
      <c r="AB47" s="76" t="s">
        <v>23</v>
      </c>
      <c r="AC47" s="76" t="s">
        <v>23</v>
      </c>
      <c r="AD47" s="76" t="s">
        <v>23</v>
      </c>
      <c r="AE47" s="5" t="s">
        <v>23</v>
      </c>
      <c r="AF47" s="20" t="e">
        <f t="shared" si="1"/>
        <v>#DIV/0!</v>
      </c>
      <c r="AG47" s="76">
        <f t="shared" si="0"/>
        <v>0</v>
      </c>
      <c r="AH47" s="76" t="str">
        <f>IFERROR(VLOOKUP(AJ47,Area_CLCL!$A$5:$E$51,5),"")</f>
        <v/>
      </c>
      <c r="AI47" s="76" t="str">
        <f t="shared" ca="1" si="2"/>
        <v/>
      </c>
      <c r="AJ47" s="76"/>
    </row>
    <row r="48" spans="1:36" x14ac:dyDescent="0.3">
      <c r="A48" s="76" t="s">
        <v>282</v>
      </c>
      <c r="B48" s="74">
        <v>9.2989061450799992E-3</v>
      </c>
      <c r="C48" s="74">
        <v>9.2989061450799992E-3</v>
      </c>
      <c r="D48" s="74">
        <v>8.7303258900400006E-3</v>
      </c>
      <c r="E48" s="74">
        <v>8.3249511583599993E-3</v>
      </c>
      <c r="F48" s="74">
        <v>7.8258584715099992E-3</v>
      </c>
      <c r="G48" s="74">
        <v>7.37211982419E-3</v>
      </c>
      <c r="H48" s="74">
        <v>7.0858640862500001E-3</v>
      </c>
      <c r="I48" s="74">
        <v>6.6813290143199998E-3</v>
      </c>
      <c r="J48" s="74">
        <v>6.3839706084600004E-3</v>
      </c>
      <c r="K48" s="74">
        <v>5.9246100097399999E-3</v>
      </c>
      <c r="L48" s="74">
        <v>5.4678794732199998E-3</v>
      </c>
      <c r="M48" s="74">
        <v>5.2271791171199997E-3</v>
      </c>
      <c r="N48" s="74">
        <v>4.9191269570600001E-3</v>
      </c>
      <c r="O48" s="74">
        <v>4.7022109839100004E-3</v>
      </c>
      <c r="P48" s="74">
        <v>4.8160122967699998E-3</v>
      </c>
      <c r="Q48" s="74">
        <v>6.0820261020399996E-3</v>
      </c>
      <c r="R48" s="74">
        <v>6.0942293008099998E-3</v>
      </c>
      <c r="S48" s="74">
        <v>9.3055305653200002E-3</v>
      </c>
      <c r="T48" s="74">
        <v>5.9029859497899996E-3</v>
      </c>
      <c r="U48" s="74">
        <v>5.7682052634200004E-3</v>
      </c>
      <c r="V48" s="74">
        <v>6.4976562308999997E-3</v>
      </c>
      <c r="W48" s="74">
        <v>1.1077249352049999E-2</v>
      </c>
      <c r="X48" s="74">
        <v>9.3121384144999996E-3</v>
      </c>
      <c r="Y48" s="74">
        <v>8.9319525842599997E-3</v>
      </c>
      <c r="Z48" s="74">
        <v>9.2678622373500007E-3</v>
      </c>
      <c r="AA48" s="74">
        <v>6.5693294943899999E-3</v>
      </c>
      <c r="AB48" s="74">
        <v>1.4854394372900001E-2</v>
      </c>
      <c r="AC48" s="74">
        <v>1.402905758535E-2</v>
      </c>
      <c r="AD48" s="74">
        <v>1.48780117554E-2</v>
      </c>
      <c r="AE48" s="7">
        <v>1.498952061811E-2</v>
      </c>
      <c r="AF48" s="20">
        <f t="shared" si="1"/>
        <v>0.38251811642803113</v>
      </c>
      <c r="AG48" s="76">
        <f t="shared" si="0"/>
        <v>3.1171334546783269E-3</v>
      </c>
      <c r="AH48" s="76">
        <f>IFERROR(VLOOKUP(AJ48,Area_CLCL!$A$5:$E$51,5),"")</f>
        <v>1</v>
      </c>
      <c r="AI48" s="76">
        <f t="shared" ca="1" si="2"/>
        <v>1502.51</v>
      </c>
      <c r="AJ48" s="76" t="s">
        <v>51</v>
      </c>
    </row>
    <row r="49" spans="1:36" x14ac:dyDescent="0.3">
      <c r="A49" s="76" t="s">
        <v>283</v>
      </c>
      <c r="B49" s="74">
        <v>-4.1618094439999998E-4</v>
      </c>
      <c r="C49" s="74">
        <v>-4.1649116486999998E-4</v>
      </c>
      <c r="D49" s="74">
        <v>-4.3858862375000001E-4</v>
      </c>
      <c r="E49" s="74">
        <v>-4.6110181320000002E-4</v>
      </c>
      <c r="F49" s="74">
        <v>-4.8404257665000001E-4</v>
      </c>
      <c r="G49" s="74">
        <v>-5.0742321172000005E-4</v>
      </c>
      <c r="H49" s="74">
        <v>-5.3125649215999995E-4</v>
      </c>
      <c r="I49" s="74">
        <v>-5.7498365704000004E-4</v>
      </c>
      <c r="J49" s="74">
        <v>-6.1920202833999996E-4</v>
      </c>
      <c r="K49" s="74">
        <v>-6.6391992969000002E-4</v>
      </c>
      <c r="L49" s="74">
        <v>-7.091458739E-4</v>
      </c>
      <c r="M49" s="74">
        <v>-7.5488856826999996E-4</v>
      </c>
      <c r="N49" s="74">
        <v>-8.0122212633999997E-4</v>
      </c>
      <c r="O49" s="74">
        <v>-8.4809888308E-4</v>
      </c>
      <c r="P49" s="74">
        <v>-8.3702017187999998E-4</v>
      </c>
      <c r="Q49" s="74">
        <v>-8.2583272898000004E-4</v>
      </c>
      <c r="R49" s="74">
        <v>-8.2441586830000004E-4</v>
      </c>
      <c r="S49" s="74">
        <v>-8.1305507292000004E-4</v>
      </c>
      <c r="T49" s="74">
        <v>3.7502453193899998E-3</v>
      </c>
      <c r="U49" s="74">
        <v>4.0227487338299998E-3</v>
      </c>
      <c r="V49" s="74">
        <v>4.2968683298600001E-3</v>
      </c>
      <c r="W49" s="74">
        <v>4.5722455197999999E-3</v>
      </c>
      <c r="X49" s="74">
        <v>5.0313361648300003E-3</v>
      </c>
      <c r="Y49" s="74">
        <v>5.4947409133100002E-3</v>
      </c>
      <c r="Z49" s="74">
        <v>5.65857846418E-3</v>
      </c>
      <c r="AA49" s="74">
        <v>5.9942146488599999E-3</v>
      </c>
      <c r="AB49" s="74">
        <v>6.25199330063E-3</v>
      </c>
      <c r="AC49" s="74">
        <v>6.0660125550999998E-3</v>
      </c>
      <c r="AD49" s="74">
        <v>5.8759756941199996E-3</v>
      </c>
      <c r="AE49" s="7">
        <v>5.6813252800899999E-3</v>
      </c>
      <c r="AF49" s="20">
        <f t="shared" si="1"/>
        <v>1.6853921020282994</v>
      </c>
      <c r="AG49" s="76">
        <f t="shared" si="0"/>
        <v>2.997998493132004E-3</v>
      </c>
      <c r="AH49" s="76">
        <f>IFERROR(VLOOKUP(AJ49,Area_CLCL!$A$5:$E$51,5),"")</f>
        <v>1</v>
      </c>
      <c r="AI49" s="76">
        <f t="shared" ca="1" si="2"/>
        <v>219.5</v>
      </c>
      <c r="AJ49" s="76" t="s">
        <v>53</v>
      </c>
    </row>
    <row r="50" spans="1:36" x14ac:dyDescent="0.3">
      <c r="A50" s="76" t="s">
        <v>284</v>
      </c>
      <c r="B50" s="76" t="s">
        <v>23</v>
      </c>
      <c r="C50" s="76" t="s">
        <v>23</v>
      </c>
      <c r="D50" s="74">
        <v>9.7212081865999996E-4</v>
      </c>
      <c r="E50" s="74">
        <v>1.9494605344E-3</v>
      </c>
      <c r="F50" s="74">
        <v>2.9320098104100001E-3</v>
      </c>
      <c r="G50" s="74">
        <v>3.9302353008699997E-3</v>
      </c>
      <c r="H50" s="74">
        <v>4.94608154787E-3</v>
      </c>
      <c r="I50" s="74">
        <v>5.9794078407E-3</v>
      </c>
      <c r="J50" s="74">
        <v>7.0255403752700002E-3</v>
      </c>
      <c r="K50" s="74">
        <v>8.0847749352899994E-3</v>
      </c>
      <c r="L50" s="74">
        <v>9.1453941782400003E-3</v>
      </c>
      <c r="M50" s="74">
        <v>1.022034225323E-2</v>
      </c>
      <c r="N50" s="74">
        <v>1.1274738807150001E-2</v>
      </c>
      <c r="O50" s="74">
        <v>1.232453637843E-2</v>
      </c>
      <c r="P50" s="74">
        <v>1.337994323048E-2</v>
      </c>
      <c r="Q50" s="74">
        <v>1.4437607924450001E-2</v>
      </c>
      <c r="R50" s="74">
        <v>1.55024487788E-2</v>
      </c>
      <c r="S50" s="74">
        <v>1.6545515087790001E-2</v>
      </c>
      <c r="T50" s="74">
        <v>1.89240442055E-2</v>
      </c>
      <c r="U50" s="74">
        <v>2.0089949305569999E-2</v>
      </c>
      <c r="V50" s="74">
        <v>2.062886542503E-2</v>
      </c>
      <c r="W50" s="74">
        <v>2.190984262956E-2</v>
      </c>
      <c r="X50" s="74">
        <v>2.2675394560540001E-2</v>
      </c>
      <c r="Y50" s="74">
        <v>2.3372927780620001E-2</v>
      </c>
      <c r="Z50" s="74">
        <v>2.426230032638E-2</v>
      </c>
      <c r="AA50" s="74">
        <v>2.465705260474E-2</v>
      </c>
      <c r="AB50" s="74">
        <v>2.506668171306E-2</v>
      </c>
      <c r="AC50" s="74">
        <v>2.544548657486E-2</v>
      </c>
      <c r="AD50" s="74">
        <v>2.5813721149130001E-2</v>
      </c>
      <c r="AE50" s="7">
        <v>2.6406061692239999E-2</v>
      </c>
      <c r="AF50" s="20">
        <f t="shared" si="1"/>
        <v>0.5821901826601521</v>
      </c>
      <c r="AG50" s="76">
        <f t="shared" si="0"/>
        <v>8.6892401615765343E-3</v>
      </c>
      <c r="AH50" s="76">
        <f>IFERROR(VLOOKUP(AJ50,Area_CLCL!$A$5:$E$51,5),"")</f>
        <v>1</v>
      </c>
      <c r="AI50" s="76">
        <f t="shared" ca="1" si="2"/>
        <v>19786.13</v>
      </c>
      <c r="AJ50" s="76" t="s">
        <v>55</v>
      </c>
    </row>
    <row r="51" spans="1:36" x14ac:dyDescent="0.3">
      <c r="A51" s="76" t="s">
        <v>285</v>
      </c>
      <c r="B51" s="74">
        <v>-4.1999999960919999E-2</v>
      </c>
      <c r="C51" s="74">
        <v>-4.1999999960919999E-2</v>
      </c>
      <c r="D51" s="74">
        <v>-4.0806755914539999E-2</v>
      </c>
      <c r="E51" s="74">
        <v>-5.2316176951630003E-2</v>
      </c>
      <c r="F51" s="74">
        <v>-3.4026623685850001E-2</v>
      </c>
      <c r="G51" s="74">
        <v>-6.9815419885960003E-2</v>
      </c>
      <c r="H51" s="74">
        <v>-6.4327448192549999E-2</v>
      </c>
      <c r="I51" s="74">
        <v>-7.0580599488180004E-2</v>
      </c>
      <c r="J51" s="74">
        <v>-7.7703599371110002E-2</v>
      </c>
      <c r="K51" s="74">
        <v>-0.10009648279289</v>
      </c>
      <c r="L51" s="74">
        <v>-0.13539696411318</v>
      </c>
      <c r="M51" s="74">
        <v>-0.13991240218109999</v>
      </c>
      <c r="N51" s="74">
        <v>-0.12926754847336999</v>
      </c>
      <c r="O51" s="74">
        <v>-0.12994719751004</v>
      </c>
      <c r="P51" s="74">
        <v>-0.12554203111409001</v>
      </c>
      <c r="Q51" s="74">
        <v>-0.11460440852926</v>
      </c>
      <c r="R51" s="74">
        <v>-8.3068966072220002E-2</v>
      </c>
      <c r="S51" s="74">
        <v>-6.7963744308040003E-2</v>
      </c>
      <c r="T51" s="74">
        <v>-6.8625174432070002E-2</v>
      </c>
      <c r="U51" s="74">
        <v>-2.7897987025679999E-2</v>
      </c>
      <c r="V51" s="74">
        <v>-2.0032760272039998E-2</v>
      </c>
      <c r="W51" s="74">
        <v>-4.6479363881170001E-2</v>
      </c>
      <c r="X51" s="74">
        <v>-5.5017143148630002E-2</v>
      </c>
      <c r="Y51" s="74">
        <v>-0.10039846815476</v>
      </c>
      <c r="Z51" s="74">
        <v>-8.8693965620609994E-2</v>
      </c>
      <c r="AA51" s="74">
        <v>-4.7158067643129999E-2</v>
      </c>
      <c r="AB51" s="74">
        <v>-3.7202781275580001E-2</v>
      </c>
      <c r="AC51" s="74">
        <v>-6.3864132702280002E-2</v>
      </c>
      <c r="AD51" s="74">
        <v>-0.1083781285577</v>
      </c>
      <c r="AE51" s="7">
        <v>-9.2257393207890004E-2</v>
      </c>
      <c r="AF51" s="20">
        <f t="shared" si="1"/>
        <v>0.4542052451531452</v>
      </c>
      <c r="AG51" s="76">
        <f t="shared" si="0"/>
        <v>3.4979782697375846E-2</v>
      </c>
      <c r="AH51" s="76">
        <f>IFERROR(VLOOKUP(AJ51,Area_CLCL!$A$5:$E$51,5),"")</f>
        <v>1</v>
      </c>
      <c r="AI51" s="76">
        <f t="shared" ca="1" si="2"/>
        <v>2600.17</v>
      </c>
      <c r="AJ51" s="76" t="s">
        <v>56</v>
      </c>
    </row>
    <row r="52" spans="1:36" x14ac:dyDescent="0.3">
      <c r="A52" s="76" t="s">
        <v>286</v>
      </c>
      <c r="B52" s="74">
        <v>4.7965549708200002E-2</v>
      </c>
      <c r="C52" s="74">
        <v>4.7965549708200002E-2</v>
      </c>
      <c r="D52" s="74">
        <v>0.17209590219729001</v>
      </c>
      <c r="E52" s="74">
        <v>5.4387476193379997E-2</v>
      </c>
      <c r="F52" s="74">
        <v>-0.17157207714775999</v>
      </c>
      <c r="G52" s="74">
        <v>-0.13249100317817999</v>
      </c>
      <c r="H52" s="74">
        <v>-0.15591631346943</v>
      </c>
      <c r="I52" s="74">
        <v>8.6540172465679993E-2</v>
      </c>
      <c r="J52" s="74">
        <v>5.0990215033049999E-2</v>
      </c>
      <c r="K52" s="74">
        <v>0.17402809828596</v>
      </c>
      <c r="L52" s="74">
        <v>0.17072160684179</v>
      </c>
      <c r="M52" s="74">
        <v>-0.38510360685000999</v>
      </c>
      <c r="N52" s="74">
        <v>-0.10458172128150001</v>
      </c>
      <c r="O52" s="74">
        <v>-0.11142844717512999</v>
      </c>
      <c r="P52" s="74">
        <v>0.52582312790330998</v>
      </c>
      <c r="Q52" s="74">
        <v>0.36623226618049998</v>
      </c>
      <c r="R52" s="74">
        <v>-0.22734851237563</v>
      </c>
      <c r="S52" s="74">
        <v>0.19401073780329001</v>
      </c>
      <c r="T52" s="74">
        <v>0.15645441817726999</v>
      </c>
      <c r="U52" s="74">
        <v>0.10251266266271999</v>
      </c>
      <c r="V52" s="74">
        <v>0.16891501047561</v>
      </c>
      <c r="W52" s="74">
        <v>1.835405579837E-2</v>
      </c>
      <c r="X52" s="74">
        <v>0.21163306435727</v>
      </c>
      <c r="Y52" s="74">
        <v>-0.14032138256853</v>
      </c>
      <c r="Z52" s="74">
        <v>-7.8856469818810004E-2</v>
      </c>
      <c r="AA52" s="74">
        <v>3.142077663304E-2</v>
      </c>
      <c r="AB52" s="74">
        <v>-3.8135456830940002E-2</v>
      </c>
      <c r="AC52" s="74">
        <v>-0.28511414827766002</v>
      </c>
      <c r="AD52" s="74">
        <v>-0.15895001139317</v>
      </c>
      <c r="AE52" s="7">
        <v>0.52200369820553005</v>
      </c>
      <c r="AF52" s="76"/>
      <c r="AG52" s="76">
        <f t="shared" si="0"/>
        <v>0.21747571780104935</v>
      </c>
      <c r="AH52" s="76" t="str">
        <f>IFERROR(VLOOKUP(AJ52,Area_CLCL!$A$5:$E$51,5),"")</f>
        <v/>
      </c>
      <c r="AI52" s="76" t="str">
        <f t="shared" ca="1" si="2"/>
        <v/>
      </c>
      <c r="AJ52" s="76"/>
    </row>
    <row r="53" spans="1:36" x14ac:dyDescent="0.3">
      <c r="A53" s="76" t="s">
        <v>287</v>
      </c>
      <c r="B53" s="76" t="s">
        <v>23</v>
      </c>
      <c r="C53" s="76" t="s">
        <v>23</v>
      </c>
      <c r="D53" s="74">
        <v>6.65666757E-6</v>
      </c>
      <c r="E53" s="74">
        <v>1.992614106E-5</v>
      </c>
      <c r="F53" s="74">
        <v>2.882905317E-5</v>
      </c>
      <c r="G53" s="74">
        <v>4.0019392869999998E-5</v>
      </c>
      <c r="H53" s="74">
        <v>5.4114040839999999E-5</v>
      </c>
      <c r="I53" s="74">
        <v>6.2619666570000007E-5</v>
      </c>
      <c r="J53" s="74">
        <v>6.6671977860000004E-5</v>
      </c>
      <c r="K53" s="74">
        <v>7.3248169220000006E-5</v>
      </c>
      <c r="L53" s="74">
        <v>7.8494048469999997E-5</v>
      </c>
      <c r="M53" s="74">
        <v>8.1192940029999999E-5</v>
      </c>
      <c r="N53" s="74">
        <v>9.4333564930000003E-5</v>
      </c>
      <c r="O53" s="74">
        <v>1.2863446995000001E-4</v>
      </c>
      <c r="P53" s="74">
        <v>1.5976925286000001E-4</v>
      </c>
      <c r="Q53" s="74">
        <v>2.08085365E-4</v>
      </c>
      <c r="R53" s="74">
        <v>2.3177942190000001E-4</v>
      </c>
      <c r="S53" s="74">
        <v>2.6916124235000001E-4</v>
      </c>
      <c r="T53" s="74">
        <v>2.9127097677999998E-4</v>
      </c>
      <c r="U53" s="74">
        <v>3.1945565726000002E-4</v>
      </c>
      <c r="V53" s="74">
        <v>3.3629962843999999E-4</v>
      </c>
      <c r="W53" s="74">
        <v>3.6138925243999999E-4</v>
      </c>
      <c r="X53" s="74">
        <v>3.6460721349999999E-4</v>
      </c>
      <c r="Y53" s="74">
        <v>3.6474413367999997E-4</v>
      </c>
      <c r="Z53" s="74">
        <v>3.6141290815E-4</v>
      </c>
      <c r="AA53" s="74">
        <v>3.5860429023000002E-4</v>
      </c>
      <c r="AB53" s="74">
        <v>3.5152326243E-4</v>
      </c>
      <c r="AC53" s="74">
        <v>3.5119861741000002E-4</v>
      </c>
      <c r="AD53" s="74">
        <v>3.5573188149999997E-4</v>
      </c>
      <c r="AE53" s="7">
        <v>3.5562438520000001E-4</v>
      </c>
      <c r="AF53" s="76"/>
      <c r="AG53" s="76">
        <f t="shared" si="0"/>
        <v>1.4120082981623652E-4</v>
      </c>
      <c r="AH53" s="76" t="str">
        <f>IFERROR(VLOOKUP(AJ53,Area_CLCL!$A$5:$E$51,5),"")</f>
        <v/>
      </c>
      <c r="AI53" s="76" t="str">
        <f t="shared" ca="1" si="2"/>
        <v/>
      </c>
      <c r="AJ53" s="76"/>
    </row>
    <row r="54" spans="1:36" x14ac:dyDescent="0.3">
      <c r="A54" s="76" t="s">
        <v>288</v>
      </c>
      <c r="B54" s="74">
        <v>7.0402545955020004E-2</v>
      </c>
      <c r="C54" s="74">
        <v>7.0402545955020004E-2</v>
      </c>
      <c r="D54" s="74">
        <v>9.8692831711760007E-2</v>
      </c>
      <c r="E54" s="74">
        <v>7.4734014643970004E-2</v>
      </c>
      <c r="F54" s="74">
        <v>-4.0779910699799997E-3</v>
      </c>
      <c r="G54" s="74">
        <v>2.224281835084E-2</v>
      </c>
      <c r="H54" s="74">
        <v>-1.7129524718569999E-2</v>
      </c>
      <c r="I54" s="74">
        <v>-1.722102179157E-2</v>
      </c>
      <c r="J54" s="74">
        <v>-7.5393669775210004E-2</v>
      </c>
      <c r="K54" s="74">
        <v>-4.0555516696559997E-2</v>
      </c>
      <c r="L54" s="74">
        <v>-4.568515120371E-2</v>
      </c>
      <c r="M54" s="74">
        <v>-9.3512712333520001E-2</v>
      </c>
      <c r="N54" s="74">
        <v>-0.13251697530018</v>
      </c>
      <c r="O54" s="74">
        <v>-0.13469755691110999</v>
      </c>
      <c r="P54" s="74">
        <v>-7.5182565489290004E-2</v>
      </c>
      <c r="Q54" s="74">
        <v>-0.15778401217144</v>
      </c>
      <c r="R54" s="74">
        <v>-0.16769291511213</v>
      </c>
      <c r="S54" s="74">
        <v>-0.13750125335572</v>
      </c>
      <c r="T54" s="74">
        <v>-9.0776988130609998E-2</v>
      </c>
      <c r="U54" s="74">
        <v>-0.22993821541796999</v>
      </c>
      <c r="V54" s="74">
        <v>-0.21122541179366999</v>
      </c>
      <c r="W54" s="74">
        <v>-0.15685033433680001</v>
      </c>
      <c r="X54" s="74">
        <v>-0.28032071561867</v>
      </c>
      <c r="Y54" s="74">
        <v>-0.22975134386768001</v>
      </c>
      <c r="Z54" s="74">
        <v>-0.32707220319419</v>
      </c>
      <c r="AA54" s="74">
        <v>-0.34170703060316998</v>
      </c>
      <c r="AB54" s="74">
        <v>-0.31309654152359001</v>
      </c>
      <c r="AC54" s="74">
        <v>-0.3477791709218</v>
      </c>
      <c r="AD54" s="74">
        <v>-0.28756698562077998</v>
      </c>
      <c r="AE54" s="7">
        <v>-0.34797834088221002</v>
      </c>
      <c r="AF54" s="76"/>
      <c r="AG54" s="76">
        <f t="shared" si="0"/>
        <v>0.1349791158658612</v>
      </c>
      <c r="AH54" s="76" t="str">
        <f>IFERROR(VLOOKUP(AJ54,Area_CLCL!$A$5:$E$51,5),"")</f>
        <v/>
      </c>
      <c r="AI54" s="76" t="str">
        <f t="shared" ca="1" si="2"/>
        <v/>
      </c>
      <c r="AJ54" s="76"/>
    </row>
    <row r="55" spans="1:36" x14ac:dyDescent="0.3">
      <c r="A55" s="76" t="s">
        <v>289</v>
      </c>
      <c r="B55" s="74">
        <v>-0.12779594164405</v>
      </c>
      <c r="C55" s="74">
        <v>-0.12779594164405</v>
      </c>
      <c r="D55" s="74">
        <v>-0.13017999155214999</v>
      </c>
      <c r="E55" s="74">
        <v>-0.12879737623962001</v>
      </c>
      <c r="F55" s="74">
        <v>-0.14130975062868001</v>
      </c>
      <c r="G55" s="74">
        <v>-0.14577831118682</v>
      </c>
      <c r="H55" s="74">
        <v>-0.16102591628176999</v>
      </c>
      <c r="I55" s="74">
        <v>-0.16242756303743</v>
      </c>
      <c r="J55" s="74">
        <v>-0.16573119786377</v>
      </c>
      <c r="K55" s="74">
        <v>-0.16929850058227999</v>
      </c>
      <c r="L55" s="74">
        <v>-0.17611745278930999</v>
      </c>
      <c r="M55" s="74">
        <v>-0.19466638239518999</v>
      </c>
      <c r="N55" s="74">
        <v>-0.21421803707878001</v>
      </c>
      <c r="O55" s="74">
        <v>-0.23054721271701001</v>
      </c>
      <c r="P55" s="74">
        <v>-0.24535877618438001</v>
      </c>
      <c r="Q55" s="74">
        <v>-0.26071817501750999</v>
      </c>
      <c r="R55" s="74">
        <v>-0.27012877901506999</v>
      </c>
      <c r="S55" s="74">
        <v>-0.28561722327104999</v>
      </c>
      <c r="T55" s="74">
        <v>-0.28928194874350999</v>
      </c>
      <c r="U55" s="74">
        <v>-0.30633977269745</v>
      </c>
      <c r="V55" s="74">
        <v>-0.32356101865331</v>
      </c>
      <c r="W55" s="74">
        <v>-0.32480622135856002</v>
      </c>
      <c r="X55" s="74">
        <v>-0.32567388951608001</v>
      </c>
      <c r="Y55" s="74">
        <v>-0.33015009101436998</v>
      </c>
      <c r="Z55" s="74">
        <v>-0.32915851826218001</v>
      </c>
      <c r="AA55" s="74">
        <v>-0.32905595789949998</v>
      </c>
      <c r="AB55" s="74">
        <v>-0.33468621511560998</v>
      </c>
      <c r="AC55" s="74">
        <v>-0.33508935217677999</v>
      </c>
      <c r="AD55" s="74">
        <v>-0.34023860481265</v>
      </c>
      <c r="AE55" s="7">
        <v>-0.34149570120546002</v>
      </c>
      <c r="AF55" s="76"/>
      <c r="AG55" s="76">
        <f t="shared" si="0"/>
        <v>7.9859924338086655E-2</v>
      </c>
      <c r="AH55" s="76" t="str">
        <f>IFERROR(VLOOKUP(AJ55,Area_CLCL!$A$5:$E$51,5),"")</f>
        <v/>
      </c>
      <c r="AI55" s="76" t="str">
        <f t="shared" ca="1" si="2"/>
        <v/>
      </c>
      <c r="AJ55" s="76"/>
    </row>
    <row r="56" spans="1:36" x14ac:dyDescent="0.3">
      <c r="A56" s="76" t="s">
        <v>290</v>
      </c>
      <c r="B56" s="74">
        <v>-0.12780917903620001</v>
      </c>
      <c r="C56" s="74">
        <v>-0.12780917903620001</v>
      </c>
      <c r="D56" s="74">
        <v>-0.13019345766140999</v>
      </c>
      <c r="E56" s="74">
        <v>-0.12881068164893</v>
      </c>
      <c r="F56" s="74">
        <v>-0.14132433084252</v>
      </c>
      <c r="G56" s="74">
        <v>-0.14579333336346001</v>
      </c>
      <c r="H56" s="74">
        <v>-0.16104248650608999</v>
      </c>
      <c r="I56" s="74">
        <v>-0.16244425283885</v>
      </c>
      <c r="J56" s="74">
        <v>-0.16574820127633</v>
      </c>
      <c r="K56" s="74">
        <v>-0.16931584421053</v>
      </c>
      <c r="L56" s="74">
        <v>-0.17613547019202</v>
      </c>
      <c r="M56" s="74">
        <v>-0.19468588928645</v>
      </c>
      <c r="N56" s="74">
        <v>-0.21423906220749001</v>
      </c>
      <c r="O56" s="74">
        <v>-0.23056937849060999</v>
      </c>
      <c r="P56" s="74">
        <v>-0.24538188582918999</v>
      </c>
      <c r="Q56" s="74">
        <v>-0.26074223540900998</v>
      </c>
      <c r="R56" s="74">
        <v>-0.27015320680607002</v>
      </c>
      <c r="S56" s="74">
        <v>-0.28564253515659999</v>
      </c>
      <c r="T56" s="74">
        <v>-0.28930707422032997</v>
      </c>
      <c r="U56" s="74">
        <v>-0.30636585087846002</v>
      </c>
      <c r="V56" s="74">
        <v>-0.32358802208533999</v>
      </c>
      <c r="W56" s="74">
        <v>-0.32483321221994998</v>
      </c>
      <c r="X56" s="74">
        <v>-0.32570083878925998</v>
      </c>
      <c r="Y56" s="74">
        <v>-0.33017729850951</v>
      </c>
      <c r="Z56" s="74">
        <v>-0.32918552563655001</v>
      </c>
      <c r="AA56" s="74">
        <v>-0.32908284457911002</v>
      </c>
      <c r="AB56" s="74">
        <v>-0.33471343324197</v>
      </c>
      <c r="AC56" s="74">
        <v>-0.33511647592421001</v>
      </c>
      <c r="AD56" s="74">
        <v>-0.34026601429520997</v>
      </c>
      <c r="AE56" s="7">
        <v>-0.34152308176468998</v>
      </c>
      <c r="AF56" s="76"/>
      <c r="AG56" s="76">
        <f t="shared" si="0"/>
        <v>7.9865110576461895E-2</v>
      </c>
      <c r="AH56" s="76" t="str">
        <f>IFERROR(VLOOKUP(AJ56,Area_CLCL!$A$5:$E$51,5),"")</f>
        <v/>
      </c>
      <c r="AI56" s="76" t="str">
        <f t="shared" ca="1" si="2"/>
        <v/>
      </c>
      <c r="AJ56" s="76"/>
    </row>
    <row r="57" spans="1:36" x14ac:dyDescent="0.3">
      <c r="A57" s="76" t="s">
        <v>291</v>
      </c>
      <c r="B57" s="74">
        <v>9.8274910066900006E-2</v>
      </c>
      <c r="C57" s="74">
        <v>9.8274910066900006E-2</v>
      </c>
      <c r="D57" s="74">
        <v>0.10722253109567</v>
      </c>
      <c r="E57" s="74">
        <v>0.10201670513683</v>
      </c>
      <c r="F57" s="74">
        <v>7.8784004862599996E-2</v>
      </c>
      <c r="G57" s="74">
        <v>9.2888077725850005E-2</v>
      </c>
      <c r="H57" s="74">
        <v>8.0440924953209994E-2</v>
      </c>
      <c r="I57" s="74">
        <v>0.10750540809862</v>
      </c>
      <c r="J57" s="74">
        <v>9.3421501060890005E-2</v>
      </c>
      <c r="K57" s="74">
        <v>7.8464709182610004E-2</v>
      </c>
      <c r="L57" s="74">
        <v>8.3456324558549996E-2</v>
      </c>
      <c r="M57" s="74">
        <v>9.3643338594539993E-2</v>
      </c>
      <c r="N57" s="74">
        <v>0.11056619580727001</v>
      </c>
      <c r="O57" s="74">
        <v>0.11932759521925999</v>
      </c>
      <c r="P57" s="74">
        <v>0.10499274814943001</v>
      </c>
      <c r="Q57" s="74">
        <v>0.10897569662501</v>
      </c>
      <c r="R57" s="74">
        <v>0.11383580177176</v>
      </c>
      <c r="S57" s="74">
        <v>0.10693978392351</v>
      </c>
      <c r="T57" s="74">
        <v>0.11281494537898</v>
      </c>
      <c r="U57" s="74">
        <v>0.10136985952037</v>
      </c>
      <c r="V57" s="74">
        <v>8.4471794426500005E-2</v>
      </c>
      <c r="W57" s="74">
        <v>9.3517035135510004E-2</v>
      </c>
      <c r="X57" s="74">
        <v>0.11805897338785</v>
      </c>
      <c r="Y57" s="74">
        <v>0.1082738461561</v>
      </c>
      <c r="Z57" s="74">
        <v>8.5673050163959999E-2</v>
      </c>
      <c r="AA57" s="74">
        <v>8.1934090497209996E-2</v>
      </c>
      <c r="AB57" s="74">
        <v>8.2663803709309994E-2</v>
      </c>
      <c r="AC57" s="74">
        <v>9.9895549659499996E-2</v>
      </c>
      <c r="AD57" s="74">
        <v>0.10133688286926</v>
      </c>
      <c r="AE57" s="7">
        <v>9.0905207618290004E-2</v>
      </c>
      <c r="AF57" s="76"/>
      <c r="AG57" s="76">
        <f t="shared" si="0"/>
        <v>1.2382930119720515E-2</v>
      </c>
      <c r="AH57" s="76" t="str">
        <f>IFERROR(VLOOKUP(AJ57,Area_CLCL!$A$5:$E$51,5),"")</f>
        <v/>
      </c>
      <c r="AI57" s="76" t="str">
        <f t="shared" ca="1" si="2"/>
        <v/>
      </c>
      <c r="AJ57" s="7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G18" sqref="G18"/>
    </sheetView>
  </sheetViews>
  <sheetFormatPr baseColWidth="10" defaultColWidth="8.6640625" defaultRowHeight="14.4" x14ac:dyDescent="0.3"/>
  <cols>
    <col min="2" max="2" width="13" customWidth="1"/>
  </cols>
  <sheetData>
    <row r="1" spans="1:7" x14ac:dyDescent="0.3">
      <c r="A1" s="76" t="s">
        <v>292</v>
      </c>
      <c r="B1" s="76"/>
      <c r="C1" s="76"/>
      <c r="D1" s="76"/>
      <c r="E1" s="76"/>
      <c r="F1" s="76"/>
      <c r="G1" s="76"/>
    </row>
    <row r="2" spans="1:7" x14ac:dyDescent="0.3">
      <c r="A2" s="76" t="s">
        <v>293</v>
      </c>
      <c r="B2" s="76"/>
      <c r="C2" s="76"/>
      <c r="D2" s="76"/>
      <c r="E2" s="76"/>
      <c r="F2" s="76"/>
      <c r="G2" s="76"/>
    </row>
    <row r="3" spans="1:7" x14ac:dyDescent="0.3">
      <c r="A3" s="76"/>
      <c r="B3" s="76"/>
      <c r="C3" s="76"/>
      <c r="D3" s="76"/>
      <c r="E3" s="76"/>
      <c r="F3" s="76"/>
      <c r="G3" s="76"/>
    </row>
    <row r="4" spans="1:7" x14ac:dyDescent="0.3">
      <c r="A4" s="76" t="s">
        <v>124</v>
      </c>
      <c r="B4" s="76" t="s">
        <v>294</v>
      </c>
      <c r="C4" s="76"/>
      <c r="D4" s="76"/>
      <c r="E4" s="76"/>
      <c r="F4" s="76"/>
      <c r="G4" s="76"/>
    </row>
    <row r="5" spans="1:7" x14ac:dyDescent="0.3">
      <c r="A5" s="76" t="s">
        <v>295</v>
      </c>
      <c r="B5" s="76" t="s">
        <v>296</v>
      </c>
      <c r="C5" s="76" t="s">
        <v>297</v>
      </c>
      <c r="D5" s="76" t="s">
        <v>298</v>
      </c>
      <c r="E5" s="76" t="s">
        <v>72</v>
      </c>
      <c r="F5" s="76"/>
      <c r="G5" s="76" t="s">
        <v>102</v>
      </c>
    </row>
    <row r="6" spans="1:7" x14ac:dyDescent="0.3">
      <c r="A6" s="76" t="s">
        <v>299</v>
      </c>
      <c r="B6" s="76" t="s">
        <v>300</v>
      </c>
      <c r="C6" s="76" t="s">
        <v>300</v>
      </c>
      <c r="D6" s="76" t="s">
        <v>300</v>
      </c>
      <c r="E6" s="76"/>
      <c r="F6" s="76"/>
      <c r="G6" s="76"/>
    </row>
    <row r="7" spans="1:7" x14ac:dyDescent="0.3">
      <c r="A7" s="76" t="s">
        <v>301</v>
      </c>
      <c r="B7" s="76">
        <v>37649.68</v>
      </c>
      <c r="C7" s="76">
        <v>37649.68</v>
      </c>
      <c r="D7" s="76" t="s">
        <v>302</v>
      </c>
      <c r="E7" s="76">
        <v>0</v>
      </c>
      <c r="F7" s="76"/>
      <c r="G7" s="76"/>
    </row>
    <row r="8" spans="1:7" x14ac:dyDescent="0.3">
      <c r="A8" s="76" t="s">
        <v>17</v>
      </c>
      <c r="B8" s="76">
        <v>1344.22</v>
      </c>
      <c r="C8" s="76">
        <v>1344.22</v>
      </c>
      <c r="D8" s="76"/>
      <c r="E8" s="76">
        <v>1</v>
      </c>
      <c r="F8" s="76"/>
      <c r="G8" s="76"/>
    </row>
    <row r="9" spans="1:7" x14ac:dyDescent="0.3">
      <c r="A9" s="76" t="s">
        <v>303</v>
      </c>
      <c r="B9" s="76">
        <v>3871.4</v>
      </c>
      <c r="C9" s="76">
        <v>5303.5</v>
      </c>
      <c r="D9" s="76">
        <v>1432.1</v>
      </c>
      <c r="E9" s="76">
        <v>0</v>
      </c>
      <c r="F9" s="76"/>
      <c r="G9" s="76"/>
    </row>
    <row r="10" spans="1:7" x14ac:dyDescent="0.3">
      <c r="A10" s="76" t="s">
        <v>26</v>
      </c>
      <c r="B10" s="76">
        <v>850.73</v>
      </c>
      <c r="C10" s="76">
        <v>852.63</v>
      </c>
      <c r="D10" s="76">
        <v>1.9</v>
      </c>
      <c r="E10" s="76">
        <v>1</v>
      </c>
      <c r="F10" s="76"/>
      <c r="G10" s="76"/>
    </row>
    <row r="11" spans="1:7" x14ac:dyDescent="0.3">
      <c r="A11" s="76" t="s">
        <v>64</v>
      </c>
      <c r="B11" s="76">
        <v>3336.95</v>
      </c>
      <c r="C11" s="76">
        <v>3336.95</v>
      </c>
      <c r="D11" s="76"/>
      <c r="E11" s="76">
        <v>1</v>
      </c>
      <c r="F11" s="76"/>
      <c r="G11" s="76"/>
    </row>
    <row r="12" spans="1:7" x14ac:dyDescent="0.3">
      <c r="A12" s="76" t="s">
        <v>304</v>
      </c>
      <c r="B12" s="76">
        <v>46956.75</v>
      </c>
      <c r="C12" s="76">
        <v>46972.9</v>
      </c>
      <c r="D12" s="76">
        <v>16.149999999999999</v>
      </c>
      <c r="E12" s="76">
        <v>0</v>
      </c>
      <c r="F12" s="76"/>
      <c r="G12" s="76"/>
    </row>
    <row r="13" spans="1:7" x14ac:dyDescent="0.3">
      <c r="A13" s="76" t="s">
        <v>29</v>
      </c>
      <c r="B13" s="76">
        <v>1486.1</v>
      </c>
      <c r="C13" s="76">
        <v>1488.56</v>
      </c>
      <c r="D13" s="76">
        <v>2.46</v>
      </c>
      <c r="E13" s="76">
        <v>1</v>
      </c>
      <c r="F13" s="76"/>
      <c r="G13" s="76"/>
    </row>
    <row r="14" spans="1:7" x14ac:dyDescent="0.3">
      <c r="A14" s="76" t="s">
        <v>60</v>
      </c>
      <c r="B14" s="76">
        <v>240.98</v>
      </c>
      <c r="C14" s="76">
        <v>240.98</v>
      </c>
      <c r="D14" s="76"/>
      <c r="E14" s="76">
        <v>1</v>
      </c>
      <c r="F14" s="76"/>
      <c r="G14" s="76"/>
    </row>
    <row r="15" spans="1:7" x14ac:dyDescent="0.3">
      <c r="A15" s="76" t="s">
        <v>62</v>
      </c>
      <c r="B15" s="76">
        <v>3166.99</v>
      </c>
      <c r="C15" s="76">
        <v>3166.99</v>
      </c>
      <c r="D15" s="76"/>
      <c r="E15" s="76">
        <v>1</v>
      </c>
      <c r="F15" s="76"/>
      <c r="G15" s="76"/>
    </row>
    <row r="16" spans="1:7" x14ac:dyDescent="0.3">
      <c r="A16" s="76" t="s">
        <v>61</v>
      </c>
      <c r="B16" s="76">
        <v>2652.43</v>
      </c>
      <c r="C16" s="76">
        <v>2779.01</v>
      </c>
      <c r="D16" s="76">
        <v>126.59</v>
      </c>
      <c r="E16" s="76">
        <v>1</v>
      </c>
      <c r="F16" s="76"/>
      <c r="G16" s="76"/>
    </row>
    <row r="17" spans="1:8" x14ac:dyDescent="0.3">
      <c r="A17" s="76" t="s">
        <v>63</v>
      </c>
      <c r="B17" s="76">
        <v>959.7</v>
      </c>
      <c r="C17" s="76">
        <v>986.45</v>
      </c>
      <c r="D17" s="76">
        <v>26.76</v>
      </c>
      <c r="E17" s="76">
        <v>1</v>
      </c>
      <c r="F17" s="76"/>
      <c r="G17" s="76"/>
      <c r="H17" s="76"/>
    </row>
    <row r="18" spans="1:8" x14ac:dyDescent="0.3">
      <c r="A18" s="76" t="s">
        <v>130</v>
      </c>
      <c r="B18" s="76">
        <v>113361.01</v>
      </c>
      <c r="C18" s="76">
        <v>114565.7</v>
      </c>
      <c r="D18" s="76">
        <v>1204.69</v>
      </c>
      <c r="E18" s="76">
        <v>0</v>
      </c>
      <c r="F18" s="76"/>
      <c r="G18" s="76">
        <v>358</v>
      </c>
      <c r="H18" s="76">
        <f>G18/C18</f>
        <v>3.1248445215278221E-3</v>
      </c>
    </row>
    <row r="19" spans="1:8" x14ac:dyDescent="0.3">
      <c r="A19" s="76" t="s">
        <v>305</v>
      </c>
      <c r="B19" s="76">
        <v>113411.78</v>
      </c>
      <c r="C19" s="76">
        <v>114653.74</v>
      </c>
      <c r="D19" s="76">
        <v>1241.96</v>
      </c>
      <c r="E19" s="76">
        <v>0</v>
      </c>
      <c r="F19" s="76"/>
      <c r="G19" s="76"/>
      <c r="H19" s="76"/>
    </row>
    <row r="20" spans="1:8" x14ac:dyDescent="0.3">
      <c r="A20" s="76" t="s">
        <v>31</v>
      </c>
      <c r="B20" s="76">
        <v>2157.38</v>
      </c>
      <c r="C20" s="76">
        <v>2359.17</v>
      </c>
      <c r="D20" s="76">
        <v>201.79</v>
      </c>
      <c r="E20" s="76">
        <v>1</v>
      </c>
      <c r="F20" s="76"/>
      <c r="G20" s="76"/>
      <c r="H20" s="76"/>
    </row>
    <row r="21" spans="1:8" x14ac:dyDescent="0.3">
      <c r="A21" s="76" t="s">
        <v>34</v>
      </c>
      <c r="B21" s="76">
        <v>14476.23</v>
      </c>
      <c r="C21" s="76">
        <v>14556.67</v>
      </c>
      <c r="D21" s="76">
        <v>80.44</v>
      </c>
      <c r="E21" s="76">
        <v>1</v>
      </c>
      <c r="F21" s="76"/>
      <c r="G21" s="76"/>
      <c r="H21" s="76"/>
    </row>
    <row r="22" spans="1:8" x14ac:dyDescent="0.3">
      <c r="A22" s="76" t="s">
        <v>35</v>
      </c>
      <c r="B22" s="76">
        <v>11143.4</v>
      </c>
      <c r="C22" s="76">
        <v>11368.55</v>
      </c>
      <c r="D22" s="76">
        <v>225.15</v>
      </c>
      <c r="E22" s="76">
        <v>1</v>
      </c>
      <c r="F22" s="76"/>
      <c r="G22" s="76"/>
      <c r="H22" s="76"/>
    </row>
    <row r="23" spans="1:8" x14ac:dyDescent="0.3">
      <c r="A23" s="76" t="s">
        <v>36</v>
      </c>
      <c r="B23" s="76">
        <v>3062.66</v>
      </c>
      <c r="C23" s="76">
        <v>3069.33</v>
      </c>
      <c r="D23" s="76">
        <v>6.66</v>
      </c>
      <c r="E23" s="76">
        <v>1</v>
      </c>
      <c r="F23" s="76"/>
      <c r="G23" s="76"/>
      <c r="H23" s="76"/>
    </row>
    <row r="24" spans="1:8" x14ac:dyDescent="0.3">
      <c r="A24" s="76" t="s">
        <v>38</v>
      </c>
      <c r="B24" s="76">
        <v>5112.83</v>
      </c>
      <c r="C24" s="76">
        <v>5112.83</v>
      </c>
      <c r="D24" s="76"/>
      <c r="E24" s="76">
        <v>1</v>
      </c>
      <c r="F24" s="76"/>
      <c r="G24" s="76"/>
      <c r="H24" s="76"/>
    </row>
    <row r="25" spans="1:8" x14ac:dyDescent="0.3">
      <c r="A25" s="76" t="s">
        <v>306</v>
      </c>
      <c r="B25" s="76">
        <v>44.9</v>
      </c>
      <c r="C25" s="76">
        <v>81.599999999999994</v>
      </c>
      <c r="D25" s="76">
        <v>36.700000000000003</v>
      </c>
      <c r="E25" s="76">
        <v>0</v>
      </c>
      <c r="F25" s="76"/>
      <c r="G25" s="76"/>
      <c r="H25" s="76"/>
    </row>
    <row r="26" spans="1:8" x14ac:dyDescent="0.3">
      <c r="A26" s="76" t="s">
        <v>39</v>
      </c>
      <c r="B26" s="76">
        <v>780.38</v>
      </c>
      <c r="C26" s="76">
        <v>780.38</v>
      </c>
      <c r="D26" s="76"/>
      <c r="E26" s="76">
        <v>1</v>
      </c>
      <c r="F26" s="76"/>
      <c r="G26" s="76"/>
      <c r="H26" s="76"/>
    </row>
    <row r="27" spans="1:8" x14ac:dyDescent="0.3">
      <c r="A27" s="76" t="s">
        <v>40</v>
      </c>
      <c r="B27" s="76">
        <v>8824.32</v>
      </c>
      <c r="C27" s="76">
        <v>8845.5</v>
      </c>
      <c r="D27" s="76">
        <v>21.17</v>
      </c>
      <c r="E27" s="76">
        <v>1</v>
      </c>
      <c r="F27" s="76"/>
      <c r="G27" s="76"/>
      <c r="H27" s="76"/>
    </row>
    <row r="28" spans="1:8" x14ac:dyDescent="0.3">
      <c r="A28" s="76" t="s">
        <v>307</v>
      </c>
      <c r="B28" s="76">
        <v>3984.16</v>
      </c>
      <c r="C28" s="76">
        <v>4198.9799999999996</v>
      </c>
      <c r="D28" s="76">
        <v>214.82</v>
      </c>
      <c r="E28" s="76">
        <v>0</v>
      </c>
      <c r="F28" s="76"/>
      <c r="G28" s="76"/>
      <c r="H28" s="76"/>
    </row>
    <row r="29" spans="1:8" x14ac:dyDescent="0.3">
      <c r="A29" s="76" t="s">
        <v>308</v>
      </c>
      <c r="B29" s="76">
        <v>35939</v>
      </c>
      <c r="C29" s="76">
        <v>35939</v>
      </c>
      <c r="D29" s="76"/>
      <c r="E29" s="76">
        <v>0</v>
      </c>
      <c r="F29" s="76"/>
      <c r="G29" s="76"/>
      <c r="H29" s="76"/>
    </row>
    <row r="30" spans="1:8" x14ac:dyDescent="0.3">
      <c r="A30" s="76" t="s">
        <v>41</v>
      </c>
      <c r="B30" s="76">
        <v>1303.99</v>
      </c>
      <c r="C30" s="76">
        <v>1370.95</v>
      </c>
      <c r="D30" s="76">
        <v>66.95</v>
      </c>
      <c r="E30" s="76">
        <v>1</v>
      </c>
      <c r="F30" s="76"/>
      <c r="G30" s="76"/>
      <c r="H30" s="76"/>
    </row>
    <row r="31" spans="1:8" x14ac:dyDescent="0.3">
      <c r="A31" s="76" t="s">
        <v>309</v>
      </c>
      <c r="B31" s="76">
        <v>1.4</v>
      </c>
      <c r="C31" s="76">
        <v>1.51</v>
      </c>
      <c r="D31" s="76">
        <v>0.11</v>
      </c>
      <c r="E31" s="76">
        <v>0</v>
      </c>
      <c r="F31" s="76"/>
      <c r="G31" s="76"/>
      <c r="H31" s="76"/>
    </row>
    <row r="32" spans="1:8" x14ac:dyDescent="0.3">
      <c r="A32" s="76" t="s">
        <v>42</v>
      </c>
      <c r="B32" s="76">
        <v>1268.1400000000001</v>
      </c>
      <c r="C32" s="76">
        <v>1282.25</v>
      </c>
      <c r="D32" s="76">
        <v>14.1</v>
      </c>
      <c r="E32" s="76">
        <v>1</v>
      </c>
      <c r="F32" s="76"/>
      <c r="G32" s="76"/>
      <c r="H32" s="76"/>
    </row>
    <row r="33" spans="1:5" x14ac:dyDescent="0.3">
      <c r="A33" s="76" t="s">
        <v>43</v>
      </c>
      <c r="B33" s="76">
        <v>53.75</v>
      </c>
      <c r="C33" s="76">
        <v>53.75</v>
      </c>
      <c r="D33" s="76"/>
      <c r="E33" s="76">
        <v>1</v>
      </c>
    </row>
    <row r="34" spans="1:5" x14ac:dyDescent="0.3">
      <c r="A34" s="76" t="s">
        <v>44</v>
      </c>
      <c r="B34" s="76">
        <v>1.39</v>
      </c>
      <c r="C34" s="76">
        <v>1.39</v>
      </c>
      <c r="D34" s="76"/>
      <c r="E34" s="76">
        <v>1</v>
      </c>
    </row>
    <row r="35" spans="1:5" x14ac:dyDescent="0.3">
      <c r="A35" s="76" t="s">
        <v>310</v>
      </c>
      <c r="B35" s="76"/>
      <c r="C35" s="76"/>
      <c r="D35" s="76"/>
      <c r="E35" s="76">
        <v>0</v>
      </c>
    </row>
    <row r="36" spans="1:5" x14ac:dyDescent="0.3">
      <c r="A36" s="76" t="s">
        <v>45</v>
      </c>
      <c r="B36" s="76">
        <v>509.9</v>
      </c>
      <c r="C36" s="76">
        <v>545.39</v>
      </c>
      <c r="D36" s="76">
        <v>35.479999999999997</v>
      </c>
      <c r="E36" s="76">
        <v>1</v>
      </c>
    </row>
    <row r="37" spans="1:5" x14ac:dyDescent="0.3">
      <c r="A37" s="76" t="s">
        <v>311</v>
      </c>
      <c r="B37" s="76">
        <v>408.23</v>
      </c>
      <c r="C37" s="76">
        <v>417.78</v>
      </c>
      <c r="D37" s="76">
        <v>9.5500000000000007</v>
      </c>
      <c r="E37" s="76">
        <v>0</v>
      </c>
    </row>
    <row r="38" spans="1:5" x14ac:dyDescent="0.3">
      <c r="A38" s="76" t="s">
        <v>193</v>
      </c>
      <c r="B38" s="76">
        <v>857.76</v>
      </c>
      <c r="C38" s="76">
        <v>914.23</v>
      </c>
      <c r="D38" s="76">
        <v>56.47</v>
      </c>
      <c r="E38" s="76">
        <v>0</v>
      </c>
    </row>
    <row r="39" spans="1:5" x14ac:dyDescent="0.3">
      <c r="A39" s="76" t="s">
        <v>46</v>
      </c>
      <c r="B39" s="76">
        <v>13467.84</v>
      </c>
      <c r="C39" s="76">
        <v>13627.9</v>
      </c>
      <c r="D39" s="76">
        <v>160.05000000000001</v>
      </c>
      <c r="E39" s="76">
        <v>1</v>
      </c>
    </row>
    <row r="40" spans="1:5" x14ac:dyDescent="0.3">
      <c r="A40" s="76" t="s">
        <v>48</v>
      </c>
      <c r="B40" s="76">
        <v>2175.02</v>
      </c>
      <c r="C40" s="76">
        <v>2175.02</v>
      </c>
      <c r="D40" s="76"/>
      <c r="E40" s="76">
        <v>1</v>
      </c>
    </row>
    <row r="41" spans="1:5" x14ac:dyDescent="0.3">
      <c r="A41" s="76" t="s">
        <v>49</v>
      </c>
      <c r="B41" s="76">
        <v>7438.11</v>
      </c>
      <c r="C41" s="76">
        <v>7444.5</v>
      </c>
      <c r="D41" s="76">
        <v>6.39</v>
      </c>
      <c r="E41" s="76">
        <v>1</v>
      </c>
    </row>
    <row r="42" spans="1:5" x14ac:dyDescent="0.3">
      <c r="A42" s="76" t="s">
        <v>312</v>
      </c>
      <c r="B42" s="76">
        <v>89661.88</v>
      </c>
      <c r="C42" s="76">
        <v>92180.88</v>
      </c>
      <c r="D42" s="76">
        <v>2519</v>
      </c>
      <c r="E42" s="76">
        <v>0</v>
      </c>
    </row>
    <row r="43" spans="1:5" x14ac:dyDescent="0.3">
      <c r="A43" s="76" t="s">
        <v>51</v>
      </c>
      <c r="B43" s="76">
        <v>1502.51</v>
      </c>
      <c r="C43" s="76">
        <v>1502.51</v>
      </c>
      <c r="D43" s="76"/>
      <c r="E43" s="76">
        <v>1</v>
      </c>
    </row>
    <row r="44" spans="1:5" x14ac:dyDescent="0.3">
      <c r="A44" s="76" t="s">
        <v>53</v>
      </c>
      <c r="B44" s="76">
        <v>219.5</v>
      </c>
      <c r="C44" s="76">
        <v>221.99</v>
      </c>
      <c r="D44" s="76">
        <v>2.4900000000000002</v>
      </c>
      <c r="E44" s="76">
        <v>1</v>
      </c>
    </row>
    <row r="45" spans="1:5" x14ac:dyDescent="0.3">
      <c r="A45" s="76" t="s">
        <v>55</v>
      </c>
      <c r="B45" s="76">
        <v>19786.13</v>
      </c>
      <c r="C45" s="76">
        <v>19786.13</v>
      </c>
      <c r="D45" s="76"/>
      <c r="E45" s="76">
        <v>1</v>
      </c>
    </row>
    <row r="46" spans="1:5" x14ac:dyDescent="0.3">
      <c r="A46" s="76" t="s">
        <v>56</v>
      </c>
      <c r="B46" s="76">
        <v>2600.17</v>
      </c>
      <c r="C46" s="76">
        <v>2733.64</v>
      </c>
      <c r="D46" s="76">
        <v>133.47</v>
      </c>
      <c r="E46" s="76">
        <v>1</v>
      </c>
    </row>
    <row r="47" spans="1:5" x14ac:dyDescent="0.3">
      <c r="A47" s="76" t="s">
        <v>313</v>
      </c>
      <c r="B47" s="76">
        <v>346.58</v>
      </c>
      <c r="C47" s="76">
        <v>356.45</v>
      </c>
      <c r="D47" s="76">
        <v>9.8699999999999992</v>
      </c>
      <c r="E47" s="76">
        <v>0</v>
      </c>
    </row>
    <row r="48" spans="1:5" x14ac:dyDescent="0.3">
      <c r="A48" s="76" t="s">
        <v>314</v>
      </c>
      <c r="B48" s="76">
        <v>26914.42</v>
      </c>
      <c r="C48" s="76">
        <v>26933.25</v>
      </c>
      <c r="D48" s="76">
        <v>18.829999999999998</v>
      </c>
      <c r="E48" s="76">
        <v>0</v>
      </c>
    </row>
    <row r="49" spans="1:5" x14ac:dyDescent="0.3">
      <c r="A49" s="76" t="s">
        <v>315</v>
      </c>
      <c r="B49" s="76">
        <v>34755.42</v>
      </c>
      <c r="C49" s="76">
        <v>34863.07</v>
      </c>
      <c r="D49" s="76">
        <v>107.65</v>
      </c>
      <c r="E49" s="76">
        <v>0</v>
      </c>
    </row>
    <row r="50" spans="1:5" x14ac:dyDescent="0.3">
      <c r="A50" s="76" t="s">
        <v>142</v>
      </c>
      <c r="B50" s="76">
        <v>3504.97</v>
      </c>
      <c r="C50" s="76">
        <v>3598.36</v>
      </c>
      <c r="D50" s="76">
        <v>93.4</v>
      </c>
      <c r="E50" s="76">
        <v>0</v>
      </c>
    </row>
    <row r="51" spans="1:5" x14ac:dyDescent="0.3">
      <c r="A51" s="76" t="s">
        <v>316</v>
      </c>
      <c r="B51" s="76">
        <v>148215.17000000001</v>
      </c>
      <c r="C51" s="76">
        <v>148850.63</v>
      </c>
      <c r="D51" s="76">
        <v>635.46</v>
      </c>
      <c r="E51" s="76">
        <v>0</v>
      </c>
    </row>
    <row r="52" spans="1:5" x14ac:dyDescent="0.3">
      <c r="A52" s="76"/>
      <c r="B52" s="76"/>
      <c r="C52" s="76"/>
      <c r="D52" s="76"/>
      <c r="E52" s="76"/>
    </row>
    <row r="53" spans="1:5" x14ac:dyDescent="0.3">
      <c r="A53" s="76"/>
      <c r="B53" s="76"/>
      <c r="C53" s="76"/>
      <c r="D53" s="76"/>
      <c r="E53" s="76"/>
    </row>
    <row r="54" spans="1:5" x14ac:dyDescent="0.3">
      <c r="A54" s="76" t="s">
        <v>135</v>
      </c>
      <c r="B54" s="76"/>
      <c r="C54" s="76"/>
      <c r="D54" s="76"/>
      <c r="E54" s="76"/>
    </row>
    <row r="55" spans="1:5" x14ac:dyDescent="0.3">
      <c r="A55" s="76" t="s">
        <v>136</v>
      </c>
      <c r="B55" s="76"/>
      <c r="C55" s="76"/>
      <c r="D55" s="76"/>
      <c r="E55" s="76"/>
    </row>
    <row r="56" spans="1:5" x14ac:dyDescent="0.3">
      <c r="A56" s="76" t="s">
        <v>137</v>
      </c>
      <c r="B56" s="76"/>
      <c r="C56" s="76"/>
      <c r="D56" s="76"/>
      <c r="E56" s="76"/>
    </row>
    <row r="57" spans="1:5" x14ac:dyDescent="0.3">
      <c r="A57" s="76" t="s">
        <v>138</v>
      </c>
      <c r="B57" s="76"/>
      <c r="C57" s="76"/>
      <c r="D57" s="76"/>
      <c r="E57" s="76"/>
    </row>
    <row r="58" spans="1:5" x14ac:dyDescent="0.3">
      <c r="A58" s="76"/>
      <c r="B58" s="76"/>
      <c r="C58" s="76"/>
      <c r="D58" s="76"/>
      <c r="E58" s="76"/>
    </row>
    <row r="59" spans="1:5" x14ac:dyDescent="0.3">
      <c r="A59" s="76" t="s">
        <v>139</v>
      </c>
      <c r="B59" s="76"/>
      <c r="C59" s="76"/>
      <c r="D59" s="76"/>
      <c r="E59" s="76"/>
    </row>
    <row r="60" spans="1:5" x14ac:dyDescent="0.3">
      <c r="A60" s="76"/>
      <c r="B60" s="76"/>
      <c r="C60" s="76"/>
      <c r="D60" s="76"/>
      <c r="E60" s="76"/>
    </row>
    <row r="61" spans="1:5" x14ac:dyDescent="0.3">
      <c r="A61" s="76" t="s">
        <v>317</v>
      </c>
      <c r="B61" s="76"/>
      <c r="C61" s="76"/>
      <c r="D61" s="76"/>
      <c r="E61" s="7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pane xSplit="1" ySplit="8" topLeftCell="R18" activePane="bottomRight" state="frozen"/>
      <selection pane="topRight" activeCell="B1" sqref="B1"/>
      <selection pane="bottomLeft" activeCell="A9" sqref="A9"/>
      <selection pane="bottomRight" activeCell="AG9" sqref="AG9"/>
    </sheetView>
  </sheetViews>
  <sheetFormatPr baseColWidth="10" defaultColWidth="8.6640625" defaultRowHeight="14.4" x14ac:dyDescent="0.3"/>
  <cols>
    <col min="1" max="1" width="13.6640625" customWidth="1"/>
    <col min="4" max="26" width="8.6640625" customWidth="1"/>
    <col min="31" max="31" width="9.33203125" style="3"/>
    <col min="32" max="33" width="8.6640625" style="28"/>
    <col min="34" max="36" width="8.6640625" style="72"/>
  </cols>
  <sheetData>
    <row r="1" spans="1:37" x14ac:dyDescent="0.3">
      <c r="A1" s="73" t="s">
        <v>202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3" spans="1:37" x14ac:dyDescent="0.3">
      <c r="A3" s="76" t="s">
        <v>318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row>
    <row r="4" spans="1:37" x14ac:dyDescent="0.3">
      <c r="A4" s="76" t="s">
        <v>126</v>
      </c>
      <c r="B4" s="76" t="s">
        <v>204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row>
    <row r="5" spans="1:37" x14ac:dyDescent="0.3">
      <c r="A5" s="76" t="s">
        <v>3</v>
      </c>
      <c r="B5" s="76" t="s">
        <v>319</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1:37" x14ac:dyDescent="0.3">
      <c r="A6" s="76" t="s">
        <v>206</v>
      </c>
      <c r="B6" s="76" t="s">
        <v>320</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t="s">
        <v>22</v>
      </c>
      <c r="AJ6" s="76"/>
      <c r="AK6" s="76"/>
    </row>
    <row r="8" spans="1:37" x14ac:dyDescent="0.3">
      <c r="A8" s="73" t="s">
        <v>208</v>
      </c>
      <c r="B8" s="73" t="s">
        <v>209</v>
      </c>
      <c r="C8" s="73" t="s">
        <v>210</v>
      </c>
      <c r="D8" s="73" t="s">
        <v>211</v>
      </c>
      <c r="E8" s="73" t="s">
        <v>212</v>
      </c>
      <c r="F8" s="73" t="s">
        <v>213</v>
      </c>
      <c r="G8" s="73" t="s">
        <v>214</v>
      </c>
      <c r="H8" s="73" t="s">
        <v>215</v>
      </c>
      <c r="I8" s="73" t="s">
        <v>216</v>
      </c>
      <c r="J8" s="73" t="s">
        <v>217</v>
      </c>
      <c r="K8" s="73" t="s">
        <v>218</v>
      </c>
      <c r="L8" s="73" t="s">
        <v>219</v>
      </c>
      <c r="M8" s="73" t="s">
        <v>220</v>
      </c>
      <c r="N8" s="73" t="s">
        <v>221</v>
      </c>
      <c r="O8" s="73" t="s">
        <v>222</v>
      </c>
      <c r="P8" s="73" t="s">
        <v>223</v>
      </c>
      <c r="Q8" s="73" t="s">
        <v>224</v>
      </c>
      <c r="R8" s="73" t="s">
        <v>225</v>
      </c>
      <c r="S8" s="73" t="s">
        <v>226</v>
      </c>
      <c r="T8" s="73" t="s">
        <v>227</v>
      </c>
      <c r="U8" s="73" t="s">
        <v>228</v>
      </c>
      <c r="V8" s="73" t="s">
        <v>229</v>
      </c>
      <c r="W8" s="73" t="s">
        <v>230</v>
      </c>
      <c r="X8" s="73" t="s">
        <v>231</v>
      </c>
      <c r="Y8" s="73" t="s">
        <v>232</v>
      </c>
      <c r="Z8" s="73" t="s">
        <v>233</v>
      </c>
      <c r="AA8" s="73" t="s">
        <v>234</v>
      </c>
      <c r="AB8" s="73" t="s">
        <v>235</v>
      </c>
      <c r="AC8" s="73" t="s">
        <v>164</v>
      </c>
      <c r="AD8" s="73" t="s">
        <v>236</v>
      </c>
      <c r="AE8" s="73" t="s">
        <v>237</v>
      </c>
      <c r="AF8" s="2" t="s">
        <v>238</v>
      </c>
      <c r="AG8" s="2" t="s">
        <v>239</v>
      </c>
      <c r="AH8" s="2" t="s">
        <v>72</v>
      </c>
      <c r="AI8" s="2" t="s">
        <v>16</v>
      </c>
      <c r="AJ8" s="2" t="s">
        <v>240</v>
      </c>
      <c r="AK8" s="76"/>
    </row>
    <row r="9" spans="1:37" x14ac:dyDescent="0.3">
      <c r="A9" s="76" t="s">
        <v>241</v>
      </c>
      <c r="B9" s="74">
        <v>-5.8178740538999997E-3</v>
      </c>
      <c r="C9" s="74">
        <v>-5.8178740538999997E-3</v>
      </c>
      <c r="D9" s="74">
        <v>-4.43199418809E-3</v>
      </c>
      <c r="E9" s="74">
        <v>2.0363066558900002E-3</v>
      </c>
      <c r="F9" s="74">
        <v>2.9646574355099999E-3</v>
      </c>
      <c r="G9" s="74">
        <v>3.2248452505599999E-3</v>
      </c>
      <c r="H9" s="74">
        <v>6.4307519338500001E-3</v>
      </c>
      <c r="I9" s="74">
        <v>4.6525348275200003E-3</v>
      </c>
      <c r="J9" s="74">
        <v>2.0578887598500001E-3</v>
      </c>
      <c r="K9" s="74">
        <v>5.4017059254000003E-3</v>
      </c>
      <c r="L9" s="74">
        <v>5.86198035193E-3</v>
      </c>
      <c r="M9" s="74">
        <v>4.7850221584200001E-3</v>
      </c>
      <c r="N9" s="74">
        <v>2.8327800941800002E-3</v>
      </c>
      <c r="O9" s="74">
        <v>1.9673728691099999E-3</v>
      </c>
      <c r="P9" s="74">
        <v>-1.61136453309E-3</v>
      </c>
      <c r="Q9" s="74">
        <v>-1.16518190494E-3</v>
      </c>
      <c r="R9" s="74">
        <v>-4.2586257294099997E-3</v>
      </c>
      <c r="S9" s="74">
        <v>-2.12562410451E-3</v>
      </c>
      <c r="T9" s="74">
        <v>-2.3366411027E-3</v>
      </c>
      <c r="U9" s="74">
        <v>-4.8260844586899996E-3</v>
      </c>
      <c r="V9" s="74">
        <v>-7.3523571245199997E-3</v>
      </c>
      <c r="W9" s="74">
        <v>-5.0045923150200001E-3</v>
      </c>
      <c r="X9" s="74">
        <v>-5.7067545108800003E-3</v>
      </c>
      <c r="Y9" s="74">
        <v>-8.2664407074499995E-3</v>
      </c>
      <c r="Z9" s="74">
        <v>-4.6584963494099999E-3</v>
      </c>
      <c r="AA9" s="74">
        <v>-5.1133322339199996E-3</v>
      </c>
      <c r="AB9" s="74">
        <v>-4.6327708076799997E-3</v>
      </c>
      <c r="AC9" s="74">
        <v>-2.5043464718800001E-3</v>
      </c>
      <c r="AD9" s="74">
        <v>5.8802548106000004E-4</v>
      </c>
      <c r="AE9" s="74">
        <v>5.6493709780999996E-4</v>
      </c>
      <c r="AF9" s="76"/>
      <c r="AG9" s="76">
        <f>IF(ISERR(SEARCH("IE",AE9)),STDEVA(C9:AE9),0.03)</f>
        <v>4.3502538274279986E-3</v>
      </c>
      <c r="AH9" s="76"/>
      <c r="AI9" s="76" t="str">
        <f ca="1">IFERROR(VLOOKUP(AJ9,INDIRECT("Area_"&amp;$AI$6&amp;"!$A$5:$E$51",TRUE),2),"")</f>
        <v/>
      </c>
      <c r="AJ9" s="76"/>
      <c r="AK9" s="76"/>
    </row>
    <row r="10" spans="1:37" x14ac:dyDescent="0.3">
      <c r="A10" s="76" t="s">
        <v>242</v>
      </c>
      <c r="B10" s="74">
        <v>1.6199999999999999E-3</v>
      </c>
      <c r="C10" s="74">
        <v>1.6199999999999999E-3</v>
      </c>
      <c r="D10" s="74">
        <v>1.6199999999999999E-3</v>
      </c>
      <c r="E10" s="74">
        <v>1.6199999999999999E-3</v>
      </c>
      <c r="F10" s="74">
        <v>1.6199999999999999E-3</v>
      </c>
      <c r="G10" s="74">
        <v>1.6199999999999999E-3</v>
      </c>
      <c r="H10" s="74">
        <v>1.6199999999999999E-3</v>
      </c>
      <c r="I10" s="74">
        <v>1.6199999999999999E-3</v>
      </c>
      <c r="J10" s="74">
        <v>1.6199999999999999E-3</v>
      </c>
      <c r="K10" s="74">
        <v>1.6199999999999999E-3</v>
      </c>
      <c r="L10" s="74">
        <v>1.6199999999999999E-3</v>
      </c>
      <c r="M10" s="74">
        <v>1.6199999999999999E-3</v>
      </c>
      <c r="N10" s="74">
        <v>1.6199999999999999E-3</v>
      </c>
      <c r="O10" s="74">
        <v>1.6199999999999999E-3</v>
      </c>
      <c r="P10" s="74">
        <v>1.6199999999999999E-3</v>
      </c>
      <c r="Q10" s="74">
        <v>1.6199999999999999E-3</v>
      </c>
      <c r="R10" s="74">
        <v>1.6199999999999999E-3</v>
      </c>
      <c r="S10" s="74">
        <v>1.6199999999999999E-3</v>
      </c>
      <c r="T10" s="74">
        <v>1.6199999999999999E-3</v>
      </c>
      <c r="U10" s="74">
        <v>1.6199999999999999E-3</v>
      </c>
      <c r="V10" s="74">
        <v>1.6199999999999999E-3</v>
      </c>
      <c r="W10" s="74">
        <v>1.6199999999999999E-3</v>
      </c>
      <c r="X10" s="74">
        <v>1.6199999999999999E-3</v>
      </c>
      <c r="Y10" s="74">
        <v>1.6199999999999999E-3</v>
      </c>
      <c r="Z10" s="74">
        <v>1.6199999999999999E-3</v>
      </c>
      <c r="AA10" s="74">
        <v>1.6199999999999999E-3</v>
      </c>
      <c r="AB10" s="74">
        <v>1.6199999999999999E-3</v>
      </c>
      <c r="AC10" s="74">
        <v>1.6199999999999999E-3</v>
      </c>
      <c r="AD10" s="74">
        <v>1.6199999999999999E-3</v>
      </c>
      <c r="AE10" s="74">
        <v>1.6199999999999999E-3</v>
      </c>
      <c r="AF10" s="20">
        <f>STDEVA(C10:AE10)/ABS(AVERAGE(C10:AE10))</f>
        <v>6.8110684032609017E-16</v>
      </c>
      <c r="AG10" s="76">
        <f t="shared" ref="AG10:AG57" si="0">IF(ISERR(SEARCH("IE",AE10)),STDEVA(C10:AE10),0.03)</f>
        <v>1.1033930813282652E-18</v>
      </c>
      <c r="AH10" s="76">
        <f>IFERROR(VLOOKUP(AJ10,Area_CLCL!$A$5:$E$51,5),"")</f>
        <v>1</v>
      </c>
      <c r="AI10" s="76">
        <f ca="1">IFERROR(VLOOKUP(AJ10,INDIRECT("Area_"&amp;$AI$6&amp;"!$A$5:$E$51",TRUE),2),"")</f>
        <v>1254.0722722312591</v>
      </c>
      <c r="AJ10" s="76" t="s">
        <v>17</v>
      </c>
      <c r="AK10" s="76"/>
    </row>
    <row r="11" spans="1:37" x14ac:dyDescent="0.3">
      <c r="A11" s="76" t="s">
        <v>243</v>
      </c>
      <c r="B11" s="76" t="s">
        <v>52</v>
      </c>
      <c r="C11" s="76" t="s">
        <v>52</v>
      </c>
      <c r="D11" s="76" t="s">
        <v>52</v>
      </c>
      <c r="E11" s="76" t="s">
        <v>52</v>
      </c>
      <c r="F11" s="76" t="s">
        <v>52</v>
      </c>
      <c r="G11" s="76" t="s">
        <v>52</v>
      </c>
      <c r="H11" s="76" t="s">
        <v>52</v>
      </c>
      <c r="I11" s="76" t="s">
        <v>52</v>
      </c>
      <c r="J11" s="76" t="s">
        <v>52</v>
      </c>
      <c r="K11" s="76" t="s">
        <v>52</v>
      </c>
      <c r="L11" s="76" t="s">
        <v>52</v>
      </c>
      <c r="M11" s="76" t="s">
        <v>52</v>
      </c>
      <c r="N11" s="76" t="s">
        <v>52</v>
      </c>
      <c r="O11" s="76" t="s">
        <v>52</v>
      </c>
      <c r="P11" s="76" t="s">
        <v>52</v>
      </c>
      <c r="Q11" s="76" t="s">
        <v>52</v>
      </c>
      <c r="R11" s="76" t="s">
        <v>52</v>
      </c>
      <c r="S11" s="76" t="s">
        <v>52</v>
      </c>
      <c r="T11" s="76" t="s">
        <v>52</v>
      </c>
      <c r="U11" s="76" t="s">
        <v>52</v>
      </c>
      <c r="V11" s="76" t="s">
        <v>52</v>
      </c>
      <c r="W11" s="76" t="s">
        <v>52</v>
      </c>
      <c r="X11" s="76" t="s">
        <v>52</v>
      </c>
      <c r="Y11" s="76" t="s">
        <v>52</v>
      </c>
      <c r="Z11" s="76" t="s">
        <v>52</v>
      </c>
      <c r="AA11" s="76" t="s">
        <v>52</v>
      </c>
      <c r="AB11" s="76" t="s">
        <v>52</v>
      </c>
      <c r="AC11" s="76" t="s">
        <v>52</v>
      </c>
      <c r="AD11" s="76" t="s">
        <v>52</v>
      </c>
      <c r="AE11" s="76" t="s">
        <v>52</v>
      </c>
      <c r="AF11" s="20" t="e">
        <f t="shared" ref="AF11:AF51" si="1">STDEVA(C11:AE11)/ABS(AVERAGE(C11:AE11))</f>
        <v>#DIV/0!</v>
      </c>
      <c r="AG11" s="76">
        <f t="shared" si="0"/>
        <v>0</v>
      </c>
      <c r="AH11" s="76" t="str">
        <f>IFERROR(VLOOKUP(AJ11,Area_CLCL!$A$5:$E$51,5),"")</f>
        <v/>
      </c>
      <c r="AI11" s="76" t="str">
        <f t="shared" ref="AI11:AI57" ca="1" si="2">IFERROR(VLOOKUP(AJ11,INDIRECT("Area_"&amp;$AI$6&amp;"!$A$5:$E$51",TRUE),2),"")</f>
        <v/>
      </c>
      <c r="AJ11" s="76"/>
      <c r="AK11" s="76"/>
    </row>
    <row r="12" spans="1:37" x14ac:dyDescent="0.3">
      <c r="A12" s="76" t="s">
        <v>321</v>
      </c>
      <c r="B12" s="74">
        <v>0.15633312185969001</v>
      </c>
      <c r="C12" s="74">
        <v>0.15633312185969001</v>
      </c>
      <c r="D12" s="74">
        <v>0.15734312374302001</v>
      </c>
      <c r="E12" s="74">
        <v>0.15837376283556001</v>
      </c>
      <c r="F12" s="74">
        <v>0.15942781155093</v>
      </c>
      <c r="G12" s="74">
        <v>0.16050381416019999</v>
      </c>
      <c r="H12" s="74">
        <v>0.16160246377022</v>
      </c>
      <c r="I12" s="74">
        <v>0.16272448297427999</v>
      </c>
      <c r="J12" s="74">
        <v>0.16387062543695</v>
      </c>
      <c r="K12" s="74">
        <v>0.16504167758235999</v>
      </c>
      <c r="L12" s="74">
        <v>0.16623846039366999</v>
      </c>
      <c r="M12" s="74">
        <v>0.16746183133250001</v>
      </c>
      <c r="N12" s="74">
        <v>0.16871268638775999</v>
      </c>
      <c r="O12" s="74">
        <v>0.16999196226408</v>
      </c>
      <c r="P12" s="74">
        <v>0.17130063872119999</v>
      </c>
      <c r="Q12" s="74">
        <v>0.17263974107638999</v>
      </c>
      <c r="R12" s="74">
        <v>0.17401034288365999</v>
      </c>
      <c r="S12" s="74">
        <v>0.1754135688041</v>
      </c>
      <c r="T12" s="74">
        <v>0.17685059768378</v>
      </c>
      <c r="U12" s="74">
        <v>0.17836262093909999</v>
      </c>
      <c r="V12" s="74">
        <v>0.17986983674531001</v>
      </c>
      <c r="W12" s="74">
        <v>0.18062382716014999</v>
      </c>
      <c r="X12" s="74">
        <v>0.18173248793109001</v>
      </c>
      <c r="Y12" s="74">
        <v>0.18287125295706</v>
      </c>
      <c r="Z12" s="74">
        <v>0.18232504797349999</v>
      </c>
      <c r="AA12" s="74">
        <v>0.18177738613602001</v>
      </c>
      <c r="AB12" s="74">
        <v>0.18122410714365</v>
      </c>
      <c r="AC12" s="74">
        <v>0.18146601431397999</v>
      </c>
      <c r="AD12" s="74">
        <v>0.18171246095547999</v>
      </c>
      <c r="AE12" s="74">
        <v>0.18196357605551</v>
      </c>
      <c r="AF12" s="20">
        <f t="shared" si="1"/>
        <v>5.2901622715326314E-2</v>
      </c>
      <c r="AG12" s="76">
        <f t="shared" si="0"/>
        <v>9.0877131601428719E-3</v>
      </c>
      <c r="AH12" s="76">
        <f>IFERROR(VLOOKUP(AJ12,Area_CLCL!$A$5:$E$51,5),"")</f>
        <v>1</v>
      </c>
      <c r="AI12" s="76">
        <f t="shared" ca="1" si="2"/>
        <v>560.67422539486006</v>
      </c>
      <c r="AJ12" s="76" t="s">
        <v>26</v>
      </c>
      <c r="AK12" s="76"/>
    </row>
    <row r="13" spans="1:37" x14ac:dyDescent="0.3">
      <c r="A13" s="76" t="s">
        <v>245</v>
      </c>
      <c r="B13" s="74">
        <v>-4.7609023750510002E-2</v>
      </c>
      <c r="C13" s="74">
        <v>-4.8776070257210001E-2</v>
      </c>
      <c r="D13" s="74">
        <v>-4.9249628476760003E-2</v>
      </c>
      <c r="E13" s="74">
        <v>-4.9631435795830001E-2</v>
      </c>
      <c r="F13" s="74">
        <v>-4.980695308929E-2</v>
      </c>
      <c r="G13" s="74">
        <v>-4.981915100598E-2</v>
      </c>
      <c r="H13" s="74">
        <v>-4.95764397552E-2</v>
      </c>
      <c r="I13" s="74">
        <v>-4.9244300712609997E-2</v>
      </c>
      <c r="J13" s="74">
        <v>-4.8607616278119999E-2</v>
      </c>
      <c r="K13" s="74">
        <v>-4.766288732322E-2</v>
      </c>
      <c r="L13" s="74">
        <v>-4.7469950964380003E-2</v>
      </c>
      <c r="M13" s="74">
        <v>-4.6577347652460001E-2</v>
      </c>
      <c r="N13" s="74">
        <v>-4.5526046616650002E-2</v>
      </c>
      <c r="O13" s="74">
        <v>-4.4231135687870002E-2</v>
      </c>
      <c r="P13" s="74">
        <v>-4.2900293166269997E-2</v>
      </c>
      <c r="Q13" s="74">
        <v>-4.1639954091430002E-2</v>
      </c>
      <c r="R13" s="74">
        <v>-4.059830448902E-2</v>
      </c>
      <c r="S13" s="74">
        <v>-3.9400829033909998E-2</v>
      </c>
      <c r="T13" s="74">
        <v>-3.7973882972639997E-2</v>
      </c>
      <c r="U13" s="74">
        <v>-3.5370502549369999E-2</v>
      </c>
      <c r="V13" s="74">
        <v>-3.226987181747E-2</v>
      </c>
      <c r="W13" s="74">
        <v>-3.019386728268E-2</v>
      </c>
      <c r="X13" s="74">
        <v>-2.7931162068339999E-2</v>
      </c>
      <c r="Y13" s="74">
        <v>-2.5832305082279999E-2</v>
      </c>
      <c r="Z13" s="74">
        <v>-2.422859263468E-2</v>
      </c>
      <c r="AA13" s="74">
        <v>-2.132058178336E-2</v>
      </c>
      <c r="AB13" s="74">
        <v>-1.9356422269260001E-2</v>
      </c>
      <c r="AC13" s="74">
        <v>-1.7339243140259999E-2</v>
      </c>
      <c r="AD13" s="74">
        <v>-1.626004301974E-2</v>
      </c>
      <c r="AE13" s="74">
        <v>-1.476046369936E-2</v>
      </c>
      <c r="AF13" s="20">
        <f t="shared" si="1"/>
        <v>0.31817943004031946</v>
      </c>
      <c r="AG13" s="76">
        <f t="shared" si="0"/>
        <v>1.1998165399036063E-2</v>
      </c>
      <c r="AH13" s="76">
        <f>IFERROR(VLOOKUP(AJ13,Area_CLCL!$A$5:$E$51,5),"")</f>
        <v>1</v>
      </c>
      <c r="AI13" s="76">
        <f t="shared" ca="1" si="2"/>
        <v>2086.6117785076231</v>
      </c>
      <c r="AJ13" s="76" t="s">
        <v>64</v>
      </c>
      <c r="AK13" s="76"/>
    </row>
    <row r="14" spans="1:37" x14ac:dyDescent="0.3">
      <c r="A14" s="76" t="s">
        <v>246</v>
      </c>
      <c r="B14" s="76" t="s">
        <v>54</v>
      </c>
      <c r="C14" s="76" t="s">
        <v>54</v>
      </c>
      <c r="D14" s="76" t="s">
        <v>54</v>
      </c>
      <c r="E14" s="76" t="s">
        <v>54</v>
      </c>
      <c r="F14" s="76" t="s">
        <v>54</v>
      </c>
      <c r="G14" s="76" t="s">
        <v>54</v>
      </c>
      <c r="H14" s="76" t="s">
        <v>54</v>
      </c>
      <c r="I14" s="76" t="s">
        <v>54</v>
      </c>
      <c r="J14" s="76" t="s">
        <v>54</v>
      </c>
      <c r="K14" s="76" t="s">
        <v>54</v>
      </c>
      <c r="L14" s="76" t="s">
        <v>54</v>
      </c>
      <c r="M14" s="76" t="s">
        <v>54</v>
      </c>
      <c r="N14" s="76" t="s">
        <v>54</v>
      </c>
      <c r="O14" s="76" t="s">
        <v>54</v>
      </c>
      <c r="P14" s="76" t="s">
        <v>54</v>
      </c>
      <c r="Q14" s="76" t="s">
        <v>54</v>
      </c>
      <c r="R14" s="76" t="s">
        <v>54</v>
      </c>
      <c r="S14" s="76" t="s">
        <v>54</v>
      </c>
      <c r="T14" s="76" t="s">
        <v>54</v>
      </c>
      <c r="U14" s="76" t="s">
        <v>54</v>
      </c>
      <c r="V14" s="76" t="s">
        <v>54</v>
      </c>
      <c r="W14" s="76" t="s">
        <v>54</v>
      </c>
      <c r="X14" s="76" t="s">
        <v>54</v>
      </c>
      <c r="Y14" s="76" t="s">
        <v>54</v>
      </c>
      <c r="Z14" s="76" t="s">
        <v>54</v>
      </c>
      <c r="AA14" s="76" t="s">
        <v>54</v>
      </c>
      <c r="AB14" s="76" t="s">
        <v>54</v>
      </c>
      <c r="AC14" s="76" t="s">
        <v>54</v>
      </c>
      <c r="AD14" s="76" t="s">
        <v>54</v>
      </c>
      <c r="AE14" s="76" t="s">
        <v>54</v>
      </c>
      <c r="AF14" s="20" t="e">
        <f t="shared" si="1"/>
        <v>#DIV/0!</v>
      </c>
      <c r="AG14" s="76">
        <f t="shared" si="0"/>
        <v>0</v>
      </c>
      <c r="AH14" s="76" t="str">
        <f>IFERROR(VLOOKUP(AJ14,Area_CLCL!$A$5:$E$51,5),"")</f>
        <v/>
      </c>
      <c r="AI14" s="76" t="str">
        <f t="shared" ca="1" si="2"/>
        <v/>
      </c>
      <c r="AJ14" s="76"/>
      <c r="AK14" s="76"/>
    </row>
    <row r="15" spans="1:37" x14ac:dyDescent="0.3">
      <c r="A15" s="76" t="s">
        <v>247</v>
      </c>
      <c r="B15" s="76" t="s">
        <v>23</v>
      </c>
      <c r="C15" s="76" t="s">
        <v>23</v>
      </c>
      <c r="D15" s="76" t="s">
        <v>23</v>
      </c>
      <c r="E15" s="76" t="s">
        <v>23</v>
      </c>
      <c r="F15" s="76" t="s">
        <v>23</v>
      </c>
      <c r="G15" s="76" t="s">
        <v>23</v>
      </c>
      <c r="H15" s="76" t="s">
        <v>23</v>
      </c>
      <c r="I15" s="76" t="s">
        <v>23</v>
      </c>
      <c r="J15" s="76" t="s">
        <v>23</v>
      </c>
      <c r="K15" s="76" t="s">
        <v>23</v>
      </c>
      <c r="L15" s="76" t="s">
        <v>23</v>
      </c>
      <c r="M15" s="76" t="s">
        <v>23</v>
      </c>
      <c r="N15" s="76" t="s">
        <v>23</v>
      </c>
      <c r="O15" s="76" t="s">
        <v>23</v>
      </c>
      <c r="P15" s="76" t="s">
        <v>23</v>
      </c>
      <c r="Q15" s="76" t="s">
        <v>23</v>
      </c>
      <c r="R15" s="76" t="s">
        <v>23</v>
      </c>
      <c r="S15" s="76" t="s">
        <v>23</v>
      </c>
      <c r="T15" s="76" t="s">
        <v>23</v>
      </c>
      <c r="U15" s="76" t="s">
        <v>23</v>
      </c>
      <c r="V15" s="76" t="s">
        <v>23</v>
      </c>
      <c r="W15" s="76" t="s">
        <v>23</v>
      </c>
      <c r="X15" s="76" t="s">
        <v>23</v>
      </c>
      <c r="Y15" s="76" t="s">
        <v>23</v>
      </c>
      <c r="Z15" s="76" t="s">
        <v>23</v>
      </c>
      <c r="AA15" s="76" t="s">
        <v>23</v>
      </c>
      <c r="AB15" s="76" t="s">
        <v>23</v>
      </c>
      <c r="AC15" s="76" t="s">
        <v>23</v>
      </c>
      <c r="AD15" s="76" t="s">
        <v>23</v>
      </c>
      <c r="AE15" s="76" t="s">
        <v>23</v>
      </c>
      <c r="AF15" s="20" t="e">
        <f t="shared" si="1"/>
        <v>#DIV/0!</v>
      </c>
      <c r="AG15" s="76">
        <f t="shared" si="0"/>
        <v>0</v>
      </c>
      <c r="AH15" s="76">
        <f>IFERROR(VLOOKUP(AJ15,Area_CLCL!$A$5:$E$51,5),"")</f>
        <v>1</v>
      </c>
      <c r="AI15" s="76">
        <f t="shared" ca="1" si="2"/>
        <v>1093.39334517409</v>
      </c>
      <c r="AJ15" s="76" t="s">
        <v>29</v>
      </c>
      <c r="AK15" s="76"/>
    </row>
    <row r="16" spans="1:37" x14ac:dyDescent="0.3">
      <c r="A16" s="76" t="s">
        <v>248</v>
      </c>
      <c r="B16" s="76" t="s">
        <v>23</v>
      </c>
      <c r="C16" s="76" t="s">
        <v>23</v>
      </c>
      <c r="D16" s="76" t="s">
        <v>23</v>
      </c>
      <c r="E16" s="76" t="s">
        <v>23</v>
      </c>
      <c r="F16" s="76" t="s">
        <v>23</v>
      </c>
      <c r="G16" s="76" t="s">
        <v>23</v>
      </c>
      <c r="H16" s="76" t="s">
        <v>23</v>
      </c>
      <c r="I16" s="76" t="s">
        <v>23</v>
      </c>
      <c r="J16" s="76" t="s">
        <v>23</v>
      </c>
      <c r="K16" s="76" t="s">
        <v>23</v>
      </c>
      <c r="L16" s="76" t="s">
        <v>23</v>
      </c>
      <c r="M16" s="76" t="s">
        <v>23</v>
      </c>
      <c r="N16" s="76" t="s">
        <v>23</v>
      </c>
      <c r="O16" s="76" t="s">
        <v>23</v>
      </c>
      <c r="P16" s="76" t="s">
        <v>23</v>
      </c>
      <c r="Q16" s="76" t="s">
        <v>23</v>
      </c>
      <c r="R16" s="76" t="s">
        <v>23</v>
      </c>
      <c r="S16" s="76" t="s">
        <v>23</v>
      </c>
      <c r="T16" s="76" t="s">
        <v>23</v>
      </c>
      <c r="U16" s="76" t="s">
        <v>23</v>
      </c>
      <c r="V16" s="76" t="s">
        <v>23</v>
      </c>
      <c r="W16" s="76" t="s">
        <v>23</v>
      </c>
      <c r="X16" s="76" t="s">
        <v>23</v>
      </c>
      <c r="Y16" s="76" t="s">
        <v>23</v>
      </c>
      <c r="Z16" s="76" t="s">
        <v>23</v>
      </c>
      <c r="AA16" s="76" t="s">
        <v>23</v>
      </c>
      <c r="AB16" s="76" t="s">
        <v>23</v>
      </c>
      <c r="AC16" s="76" t="s">
        <v>23</v>
      </c>
      <c r="AD16" s="76" t="s">
        <v>23</v>
      </c>
      <c r="AE16" s="76" t="s">
        <v>23</v>
      </c>
      <c r="AF16" s="20" t="e">
        <f t="shared" si="1"/>
        <v>#DIV/0!</v>
      </c>
      <c r="AG16" s="76">
        <f t="shared" si="0"/>
        <v>0</v>
      </c>
      <c r="AH16" s="76">
        <f>IFERROR(VLOOKUP(AJ16,Area_CLCL!$A$5:$E$51,5),"")</f>
        <v>1</v>
      </c>
      <c r="AI16" s="76">
        <f t="shared" ca="1" si="2"/>
        <v>130.338714845407</v>
      </c>
      <c r="AJ16" s="76" t="s">
        <v>60</v>
      </c>
      <c r="AK16" s="76"/>
    </row>
    <row r="17" spans="1:37" x14ac:dyDescent="0.3">
      <c r="A17" s="76" t="s">
        <v>249</v>
      </c>
      <c r="B17" s="74">
        <v>-1.7165962433369999E-2</v>
      </c>
      <c r="C17" s="74">
        <v>-1.7165962433369999E-2</v>
      </c>
      <c r="D17" s="74">
        <v>-7.6517599734200002E-3</v>
      </c>
      <c r="E17" s="74">
        <v>2.3558905927E-3</v>
      </c>
      <c r="F17" s="74">
        <v>7.1785733158000002E-4</v>
      </c>
      <c r="G17" s="74">
        <v>7.9640312911000003E-4</v>
      </c>
      <c r="H17" s="74">
        <v>2.2716536796700002E-3</v>
      </c>
      <c r="I17" s="74">
        <v>4.6189273469999999E-4</v>
      </c>
      <c r="J17" s="74">
        <v>-4.3177721836999998E-4</v>
      </c>
      <c r="K17" s="74">
        <v>-5.0693371646799998E-3</v>
      </c>
      <c r="L17" s="74">
        <v>-3.2548312064099999E-3</v>
      </c>
      <c r="M17" s="74">
        <v>-2.93788420393E-3</v>
      </c>
      <c r="N17" s="74">
        <v>-3.1442706944299998E-3</v>
      </c>
      <c r="O17" s="74">
        <v>-3.42881962387E-3</v>
      </c>
      <c r="P17" s="74">
        <v>-3.7070203795099999E-3</v>
      </c>
      <c r="Q17" s="74">
        <v>-3.5173075210099998E-3</v>
      </c>
      <c r="R17" s="74">
        <v>-2.8317642858099999E-3</v>
      </c>
      <c r="S17" s="74">
        <v>-1.67080083681E-3</v>
      </c>
      <c r="T17" s="74">
        <v>-9.2209399010999998E-4</v>
      </c>
      <c r="U17" s="74">
        <v>-4.5866534940000002E-5</v>
      </c>
      <c r="V17" s="74">
        <v>3.9857379748999998E-4</v>
      </c>
      <c r="W17" s="74">
        <v>2.7357167462300001E-3</v>
      </c>
      <c r="X17" s="74">
        <v>9.2921920263400008E-3</v>
      </c>
      <c r="Y17" s="74">
        <v>9.5384338887100004E-3</v>
      </c>
      <c r="Z17" s="74">
        <v>9.8232255845500001E-3</v>
      </c>
      <c r="AA17" s="74">
        <v>1.0835083320049999E-2</v>
      </c>
      <c r="AB17" s="74">
        <v>1.1578057209740001E-2</v>
      </c>
      <c r="AC17" s="74">
        <v>1.8814593424559999E-2</v>
      </c>
      <c r="AD17" s="74">
        <v>2.0882184287110001E-2</v>
      </c>
      <c r="AE17" s="74">
        <v>2.3979415909839999E-2</v>
      </c>
      <c r="AF17" s="20">
        <f t="shared" si="1"/>
        <v>3.7459397742842717</v>
      </c>
      <c r="AG17" s="76">
        <f t="shared" si="0"/>
        <v>8.8742188505456805E-3</v>
      </c>
      <c r="AH17" s="76">
        <f>IFERROR(VLOOKUP(AJ17,Area_CLCL!$A$5:$E$51,5),"")</f>
        <v>1</v>
      </c>
      <c r="AI17" s="76">
        <f t="shared" ca="1" si="2"/>
        <v>903.69953999999984</v>
      </c>
      <c r="AJ17" s="76" t="s">
        <v>62</v>
      </c>
      <c r="AK17" s="76"/>
    </row>
    <row r="18" spans="1:37" x14ac:dyDescent="0.3">
      <c r="A18" s="76" t="s">
        <v>250</v>
      </c>
      <c r="B18" s="76" t="s">
        <v>322</v>
      </c>
      <c r="C18" s="76" t="s">
        <v>322</v>
      </c>
      <c r="D18" s="76" t="s">
        <v>322</v>
      </c>
      <c r="E18" s="76" t="s">
        <v>322</v>
      </c>
      <c r="F18" s="76" t="s">
        <v>322</v>
      </c>
      <c r="G18" s="76" t="s">
        <v>322</v>
      </c>
      <c r="H18" s="76" t="s">
        <v>322</v>
      </c>
      <c r="I18" s="76" t="s">
        <v>322</v>
      </c>
      <c r="J18" s="76" t="s">
        <v>322</v>
      </c>
      <c r="K18" s="76" t="s">
        <v>322</v>
      </c>
      <c r="L18" s="76" t="s">
        <v>322</v>
      </c>
      <c r="M18" s="76" t="s">
        <v>322</v>
      </c>
      <c r="N18" s="76" t="s">
        <v>322</v>
      </c>
      <c r="O18" s="76" t="s">
        <v>322</v>
      </c>
      <c r="P18" s="76" t="s">
        <v>322</v>
      </c>
      <c r="Q18" s="76" t="s">
        <v>322</v>
      </c>
      <c r="R18" s="76" t="s">
        <v>322</v>
      </c>
      <c r="S18" s="76" t="s">
        <v>322</v>
      </c>
      <c r="T18" s="76" t="s">
        <v>322</v>
      </c>
      <c r="U18" s="76" t="s">
        <v>322</v>
      </c>
      <c r="V18" s="76" t="s">
        <v>322</v>
      </c>
      <c r="W18" s="76" t="s">
        <v>322</v>
      </c>
      <c r="X18" s="76" t="s">
        <v>322</v>
      </c>
      <c r="Y18" s="76" t="s">
        <v>322</v>
      </c>
      <c r="Z18" s="76" t="s">
        <v>322</v>
      </c>
      <c r="AA18" s="76" t="s">
        <v>322</v>
      </c>
      <c r="AB18" s="76" t="s">
        <v>322</v>
      </c>
      <c r="AC18" s="76" t="s">
        <v>322</v>
      </c>
      <c r="AD18" s="76" t="s">
        <v>322</v>
      </c>
      <c r="AE18" s="76" t="s">
        <v>322</v>
      </c>
      <c r="AF18" s="20" t="e">
        <f t="shared" si="1"/>
        <v>#DIV/0!</v>
      </c>
      <c r="AG18" s="76">
        <f t="shared" si="0"/>
        <v>0.03</v>
      </c>
      <c r="AH18" s="76">
        <f>IFERROR(VLOOKUP(AJ18,Area_CLCL!$A$5:$E$51,5),"")</f>
        <v>1</v>
      </c>
      <c r="AI18" s="76">
        <f t="shared" ca="1" si="2"/>
        <v>281.33707117699998</v>
      </c>
      <c r="AJ18" s="76" t="s">
        <v>61</v>
      </c>
      <c r="AK18" s="76"/>
    </row>
    <row r="19" spans="1:37" x14ac:dyDescent="0.3">
      <c r="A19" s="76" t="s">
        <v>251</v>
      </c>
      <c r="B19" s="76" t="s">
        <v>322</v>
      </c>
      <c r="C19" s="76" t="s">
        <v>322</v>
      </c>
      <c r="D19" s="76" t="s">
        <v>322</v>
      </c>
      <c r="E19" s="76" t="s">
        <v>322</v>
      </c>
      <c r="F19" s="76" t="s">
        <v>322</v>
      </c>
      <c r="G19" s="76" t="s">
        <v>322</v>
      </c>
      <c r="H19" s="76" t="s">
        <v>322</v>
      </c>
      <c r="I19" s="76" t="s">
        <v>322</v>
      </c>
      <c r="J19" s="76" t="s">
        <v>322</v>
      </c>
      <c r="K19" s="76" t="s">
        <v>322</v>
      </c>
      <c r="L19" s="76" t="s">
        <v>322</v>
      </c>
      <c r="M19" s="76" t="s">
        <v>322</v>
      </c>
      <c r="N19" s="76" t="s">
        <v>322</v>
      </c>
      <c r="O19" s="76" t="s">
        <v>322</v>
      </c>
      <c r="P19" s="76" t="s">
        <v>322</v>
      </c>
      <c r="Q19" s="76" t="s">
        <v>322</v>
      </c>
      <c r="R19" s="76" t="s">
        <v>322</v>
      </c>
      <c r="S19" s="76" t="s">
        <v>322</v>
      </c>
      <c r="T19" s="76" t="s">
        <v>322</v>
      </c>
      <c r="U19" s="76" t="s">
        <v>322</v>
      </c>
      <c r="V19" s="76" t="s">
        <v>322</v>
      </c>
      <c r="W19" s="76" t="s">
        <v>322</v>
      </c>
      <c r="X19" s="76" t="s">
        <v>322</v>
      </c>
      <c r="Y19" s="76" t="s">
        <v>322</v>
      </c>
      <c r="Z19" s="76" t="s">
        <v>322</v>
      </c>
      <c r="AA19" s="76" t="s">
        <v>322</v>
      </c>
      <c r="AB19" s="76" t="s">
        <v>322</v>
      </c>
      <c r="AC19" s="76" t="s">
        <v>322</v>
      </c>
      <c r="AD19" s="76" t="s">
        <v>322</v>
      </c>
      <c r="AE19" s="76" t="s">
        <v>322</v>
      </c>
      <c r="AF19" s="20" t="e">
        <f t="shared" si="1"/>
        <v>#DIV/0!</v>
      </c>
      <c r="AG19" s="76">
        <f t="shared" si="0"/>
        <v>0.03</v>
      </c>
      <c r="AH19" s="76" t="str">
        <f>IFERROR(VLOOKUP(AJ19,Area_CLCL!$A$5:$E$51,5),"")</f>
        <v/>
      </c>
      <c r="AI19" s="76" t="str">
        <f t="shared" ca="1" si="2"/>
        <v/>
      </c>
      <c r="AJ19" s="76"/>
      <c r="AK19" s="76"/>
    </row>
    <row r="20" spans="1:37" x14ac:dyDescent="0.3">
      <c r="A20" s="76" t="s">
        <v>252</v>
      </c>
      <c r="B20" s="76" t="s">
        <v>302</v>
      </c>
      <c r="C20" s="76" t="s">
        <v>302</v>
      </c>
      <c r="D20" s="76" t="s">
        <v>302</v>
      </c>
      <c r="E20" s="76" t="s">
        <v>302</v>
      </c>
      <c r="F20" s="76" t="s">
        <v>302</v>
      </c>
      <c r="G20" s="76" t="s">
        <v>302</v>
      </c>
      <c r="H20" s="76" t="s">
        <v>302</v>
      </c>
      <c r="I20" s="76" t="s">
        <v>302</v>
      </c>
      <c r="J20" s="76" t="s">
        <v>302</v>
      </c>
      <c r="K20" s="76" t="s">
        <v>302</v>
      </c>
      <c r="L20" s="76" t="s">
        <v>302</v>
      </c>
      <c r="M20" s="76" t="s">
        <v>302</v>
      </c>
      <c r="N20" s="76" t="s">
        <v>302</v>
      </c>
      <c r="O20" s="76" t="s">
        <v>302</v>
      </c>
      <c r="P20" s="76" t="s">
        <v>302</v>
      </c>
      <c r="Q20" s="76" t="s">
        <v>302</v>
      </c>
      <c r="R20" s="76" t="s">
        <v>302</v>
      </c>
      <c r="S20" s="76" t="s">
        <v>302</v>
      </c>
      <c r="T20" s="76" t="s">
        <v>302</v>
      </c>
      <c r="U20" s="76" t="s">
        <v>302</v>
      </c>
      <c r="V20" s="76" t="s">
        <v>302</v>
      </c>
      <c r="W20" s="76" t="s">
        <v>302</v>
      </c>
      <c r="X20" s="76" t="s">
        <v>302</v>
      </c>
      <c r="Y20" s="76" t="s">
        <v>302</v>
      </c>
      <c r="Z20" s="76" t="s">
        <v>302</v>
      </c>
      <c r="AA20" s="76" t="s">
        <v>302</v>
      </c>
      <c r="AB20" s="76" t="s">
        <v>302</v>
      </c>
      <c r="AC20" s="76" t="s">
        <v>302</v>
      </c>
      <c r="AD20" s="76" t="s">
        <v>302</v>
      </c>
      <c r="AE20" s="76" t="s">
        <v>302</v>
      </c>
      <c r="AF20" s="20" t="e">
        <f t="shared" si="1"/>
        <v>#DIV/0!</v>
      </c>
      <c r="AG20" s="76">
        <f t="shared" si="0"/>
        <v>0.03</v>
      </c>
      <c r="AH20" s="76" t="str">
        <f>IFERROR(VLOOKUP(AJ20,Area_CLCL!$A$5:$E$51,5),"")</f>
        <v/>
      </c>
      <c r="AI20" s="76" t="str">
        <f t="shared" ca="1" si="2"/>
        <v/>
      </c>
      <c r="AJ20" s="76"/>
      <c r="AK20" s="76"/>
    </row>
    <row r="21" spans="1:37" x14ac:dyDescent="0.3">
      <c r="A21" s="76" t="s">
        <v>253</v>
      </c>
      <c r="B21" s="76" t="s">
        <v>23</v>
      </c>
      <c r="C21" s="76" t="s">
        <v>23</v>
      </c>
      <c r="D21" s="76" t="s">
        <v>23</v>
      </c>
      <c r="E21" s="76" t="s">
        <v>23</v>
      </c>
      <c r="F21" s="76" t="s">
        <v>23</v>
      </c>
      <c r="G21" s="76" t="s">
        <v>23</v>
      </c>
      <c r="H21" s="76" t="s">
        <v>23</v>
      </c>
      <c r="I21" s="76" t="s">
        <v>23</v>
      </c>
      <c r="J21" s="76" t="s">
        <v>23</v>
      </c>
      <c r="K21" s="76" t="s">
        <v>23</v>
      </c>
      <c r="L21" s="76" t="s">
        <v>23</v>
      </c>
      <c r="M21" s="76" t="s">
        <v>23</v>
      </c>
      <c r="N21" s="76" t="s">
        <v>23</v>
      </c>
      <c r="O21" s="76" t="s">
        <v>23</v>
      </c>
      <c r="P21" s="76" t="s">
        <v>23</v>
      </c>
      <c r="Q21" s="76" t="s">
        <v>23</v>
      </c>
      <c r="R21" s="76" t="s">
        <v>23</v>
      </c>
      <c r="S21" s="76" t="s">
        <v>23</v>
      </c>
      <c r="T21" s="76" t="s">
        <v>23</v>
      </c>
      <c r="U21" s="76" t="s">
        <v>23</v>
      </c>
      <c r="V21" s="76" t="s">
        <v>23</v>
      </c>
      <c r="W21" s="76" t="s">
        <v>23</v>
      </c>
      <c r="X21" s="76" t="s">
        <v>23</v>
      </c>
      <c r="Y21" s="76" t="s">
        <v>23</v>
      </c>
      <c r="Z21" s="76" t="s">
        <v>23</v>
      </c>
      <c r="AA21" s="76" t="s">
        <v>23</v>
      </c>
      <c r="AB21" s="76" t="s">
        <v>23</v>
      </c>
      <c r="AC21" s="76" t="s">
        <v>23</v>
      </c>
      <c r="AD21" s="76" t="s">
        <v>23</v>
      </c>
      <c r="AE21" s="76" t="s">
        <v>23</v>
      </c>
      <c r="AF21" s="20" t="e">
        <f t="shared" si="1"/>
        <v>#DIV/0!</v>
      </c>
      <c r="AG21" s="76">
        <f t="shared" si="0"/>
        <v>0</v>
      </c>
      <c r="AH21" s="76">
        <f>IFERROR(VLOOKUP(AJ21,Area_CLCL!$A$5:$E$51,5),"")</f>
        <v>1</v>
      </c>
      <c r="AI21" s="76">
        <f t="shared" ca="1" si="2"/>
        <v>189.815</v>
      </c>
      <c r="AJ21" s="76" t="s">
        <v>63</v>
      </c>
      <c r="AK21" s="76"/>
    </row>
    <row r="22" spans="1:37" s="3" customFormat="1" x14ac:dyDescent="0.3">
      <c r="A22" s="76" t="s">
        <v>254</v>
      </c>
      <c r="B22" s="74">
        <v>3.5885034622600001E-3</v>
      </c>
      <c r="C22" s="74">
        <v>3.5885034622600001E-3</v>
      </c>
      <c r="D22" s="74">
        <v>3.9532959658899998E-3</v>
      </c>
      <c r="E22" s="74">
        <v>7.3420761158900002E-3</v>
      </c>
      <c r="F22" s="74">
        <v>8.6586731709200008E-3</v>
      </c>
      <c r="G22" s="74">
        <v>9.8122716129599996E-3</v>
      </c>
      <c r="H22" s="74">
        <v>9.9196434752100004E-3</v>
      </c>
      <c r="I22" s="74">
        <v>1.142687681716E-2</v>
      </c>
      <c r="J22" s="74">
        <v>1.115936820489E-2</v>
      </c>
      <c r="K22" s="74">
        <v>1.210881548609E-2</v>
      </c>
      <c r="L22" s="74">
        <v>1.287882641144E-2</v>
      </c>
      <c r="M22" s="74">
        <v>1.5651157761619999E-2</v>
      </c>
      <c r="N22" s="74">
        <v>1.7930284968980002E-2</v>
      </c>
      <c r="O22" s="74">
        <v>1.7862938943740001E-2</v>
      </c>
      <c r="P22" s="74">
        <v>1.94269283296E-2</v>
      </c>
      <c r="Q22" s="74">
        <v>2.20769599068E-2</v>
      </c>
      <c r="R22" s="74">
        <v>2.3338828444069998E-2</v>
      </c>
      <c r="S22" s="74">
        <v>2.494380519587E-2</v>
      </c>
      <c r="T22" s="74">
        <v>2.5172117234309999E-2</v>
      </c>
      <c r="U22" s="74">
        <v>2.5621382884910001E-2</v>
      </c>
      <c r="V22" s="74">
        <v>2.8037325979030001E-2</v>
      </c>
      <c r="W22" s="74">
        <v>3.1534936436339998E-2</v>
      </c>
      <c r="X22" s="74">
        <v>3.0127497815749998E-2</v>
      </c>
      <c r="Y22" s="74">
        <v>2.7985538588079999E-2</v>
      </c>
      <c r="Z22" s="74">
        <v>2.785389720219E-2</v>
      </c>
      <c r="AA22" s="74">
        <v>3.026940282361E-2</v>
      </c>
      <c r="AB22" s="74">
        <v>2.926825662045E-2</v>
      </c>
      <c r="AC22" s="74">
        <v>3.0558013340029999E-2</v>
      </c>
      <c r="AD22" s="74">
        <v>3.0604484644260001E-2</v>
      </c>
      <c r="AE22" s="74">
        <v>3.1221372748780001E-2</v>
      </c>
      <c r="AF22" s="20">
        <f t="shared" si="1"/>
        <v>0.46061007888513467</v>
      </c>
      <c r="AG22" s="76">
        <f t="shared" si="0"/>
        <v>9.217498285336731E-3</v>
      </c>
      <c r="AH22" s="76" t="str">
        <f>IFERROR(VLOOKUP(AJ22,Area_CLCL!$A$5:$E$51,5),"")</f>
        <v/>
      </c>
      <c r="AI22" s="76" t="str">
        <f t="shared" ca="1" si="2"/>
        <v/>
      </c>
    </row>
    <row r="23" spans="1:37" s="3" customFormat="1" x14ac:dyDescent="0.3">
      <c r="A23" s="76" t="s">
        <v>255</v>
      </c>
      <c r="B23" s="74">
        <v>3.4503604765999999E-3</v>
      </c>
      <c r="C23" s="74">
        <v>3.4503604765999999E-3</v>
      </c>
      <c r="D23" s="74">
        <v>3.8008200748199999E-3</v>
      </c>
      <c r="E23" s="74">
        <v>7.0570390475200003E-3</v>
      </c>
      <c r="F23" s="74">
        <v>8.3208249762500002E-3</v>
      </c>
      <c r="G23" s="74">
        <v>9.4277001547699996E-3</v>
      </c>
      <c r="H23" s="74">
        <v>9.5298909805999997E-3</v>
      </c>
      <c r="I23" s="74">
        <v>1.0976048768510001E-2</v>
      </c>
      <c r="J23" s="74">
        <v>1.0718061975520001E-2</v>
      </c>
      <c r="K23" s="74">
        <v>1.1628198811309999E-2</v>
      </c>
      <c r="L23" s="74">
        <v>1.236623611999E-2</v>
      </c>
      <c r="M23" s="74">
        <v>1.502800922465E-2</v>
      </c>
      <c r="N23" s="74">
        <v>1.7215237809369999E-2</v>
      </c>
      <c r="O23" s="74">
        <v>1.715038947835E-2</v>
      </c>
      <c r="P23" s="74">
        <v>1.865148397234E-2</v>
      </c>
      <c r="Q23" s="74">
        <v>2.119439692484E-2</v>
      </c>
      <c r="R23" s="74">
        <v>2.2404105281289999E-2</v>
      </c>
      <c r="S23" s="74">
        <v>2.394320186848E-2</v>
      </c>
      <c r="T23" s="74">
        <v>2.4160246791630001E-2</v>
      </c>
      <c r="U23" s="74">
        <v>2.458970531811E-2</v>
      </c>
      <c r="V23" s="74">
        <v>2.6907400115980001E-2</v>
      </c>
      <c r="W23" s="74">
        <v>3.026104773978E-2</v>
      </c>
      <c r="X23" s="74">
        <v>2.8910803049060001E-2</v>
      </c>
      <c r="Y23" s="74">
        <v>2.685560251257E-2</v>
      </c>
      <c r="Z23" s="74">
        <v>2.67284571869E-2</v>
      </c>
      <c r="AA23" s="74">
        <v>2.9046209679659998E-2</v>
      </c>
      <c r="AB23" s="74">
        <v>2.8085680818680001E-2</v>
      </c>
      <c r="AC23" s="74">
        <v>2.9322961342859999E-2</v>
      </c>
      <c r="AD23" s="74">
        <v>2.93660501707E-2</v>
      </c>
      <c r="AE23" s="74">
        <v>2.994785211253E-2</v>
      </c>
      <c r="AF23" s="20">
        <f t="shared" si="1"/>
        <v>0.46025211724580939</v>
      </c>
      <c r="AG23" s="76">
        <f t="shared" si="0"/>
        <v>8.8407134788036912E-3</v>
      </c>
      <c r="AH23" s="76" t="str">
        <f>IFERROR(VLOOKUP(AJ23,Area_CLCL!$A$5:$E$51,5),"")</f>
        <v/>
      </c>
      <c r="AI23" s="76" t="str">
        <f t="shared" ca="1" si="2"/>
        <v/>
      </c>
      <c r="AJ23" s="76"/>
    </row>
    <row r="24" spans="1:37" x14ac:dyDescent="0.3">
      <c r="A24" s="76" t="s">
        <v>256</v>
      </c>
      <c r="B24" s="76" t="s">
        <v>52</v>
      </c>
      <c r="C24" s="76" t="s">
        <v>52</v>
      </c>
      <c r="D24" s="76" t="s">
        <v>52</v>
      </c>
      <c r="E24" s="76" t="s">
        <v>52</v>
      </c>
      <c r="F24" s="76" t="s">
        <v>52</v>
      </c>
      <c r="G24" s="76" t="s">
        <v>52</v>
      </c>
      <c r="H24" s="76" t="s">
        <v>52</v>
      </c>
      <c r="I24" s="76" t="s">
        <v>52</v>
      </c>
      <c r="J24" s="76" t="s">
        <v>52</v>
      </c>
      <c r="K24" s="76" t="s">
        <v>52</v>
      </c>
      <c r="L24" s="76" t="s">
        <v>52</v>
      </c>
      <c r="M24" s="76" t="s">
        <v>52</v>
      </c>
      <c r="N24" s="76" t="s">
        <v>52</v>
      </c>
      <c r="O24" s="76" t="s">
        <v>52</v>
      </c>
      <c r="P24" s="76" t="s">
        <v>52</v>
      </c>
      <c r="Q24" s="76" t="s">
        <v>52</v>
      </c>
      <c r="R24" s="76" t="s">
        <v>52</v>
      </c>
      <c r="S24" s="76" t="s">
        <v>52</v>
      </c>
      <c r="T24" s="76" t="s">
        <v>52</v>
      </c>
      <c r="U24" s="76" t="s">
        <v>52</v>
      </c>
      <c r="V24" s="76" t="s">
        <v>52</v>
      </c>
      <c r="W24" s="76" t="s">
        <v>52</v>
      </c>
      <c r="X24" s="76" t="s">
        <v>52</v>
      </c>
      <c r="Y24" s="76" t="s">
        <v>52</v>
      </c>
      <c r="Z24" s="76" t="s">
        <v>52</v>
      </c>
      <c r="AA24" s="76" t="s">
        <v>52</v>
      </c>
      <c r="AB24" s="76" t="s">
        <v>52</v>
      </c>
      <c r="AC24" s="76" t="s">
        <v>52</v>
      </c>
      <c r="AD24" s="76" t="s">
        <v>52</v>
      </c>
      <c r="AE24" s="76" t="s">
        <v>52</v>
      </c>
      <c r="AF24" s="20" t="e">
        <f t="shared" si="1"/>
        <v>#DIV/0!</v>
      </c>
      <c r="AG24" s="76">
        <f t="shared" si="0"/>
        <v>0</v>
      </c>
      <c r="AH24" s="76">
        <f>IFERROR(VLOOKUP(AJ24,Area_CLCL!$A$5:$E$51,5),"")</f>
        <v>1</v>
      </c>
      <c r="AI24" s="76">
        <f t="shared" ca="1" si="2"/>
        <v>126.684</v>
      </c>
      <c r="AJ24" s="76" t="s">
        <v>31</v>
      </c>
      <c r="AK24" s="76"/>
    </row>
    <row r="25" spans="1:37" x14ac:dyDescent="0.3">
      <c r="A25" s="76" t="s">
        <v>257</v>
      </c>
      <c r="B25" s="74">
        <v>7.7810195584000004E-4</v>
      </c>
      <c r="C25" s="74">
        <v>7.7810195584000004E-4</v>
      </c>
      <c r="D25" s="74">
        <v>8.8704737166999997E-4</v>
      </c>
      <c r="E25" s="74">
        <v>9.5410804633000001E-4</v>
      </c>
      <c r="F25" s="74">
        <v>9.7668593794999993E-4</v>
      </c>
      <c r="G25" s="74">
        <v>1.0377619883600001E-3</v>
      </c>
      <c r="H25" s="74">
        <v>1.0501185289100001E-3</v>
      </c>
      <c r="I25" s="74">
        <v>9.9931232352999991E-4</v>
      </c>
      <c r="J25" s="74">
        <v>1.0572725543400001E-3</v>
      </c>
      <c r="K25" s="74">
        <v>1.0401866145400001E-3</v>
      </c>
      <c r="L25" s="74">
        <v>9.1803282164000001E-4</v>
      </c>
      <c r="M25" s="74">
        <v>1.0154131684999999E-3</v>
      </c>
      <c r="N25" s="74">
        <v>1.0259118282099999E-3</v>
      </c>
      <c r="O25" s="74">
        <v>9.8392212072000011E-4</v>
      </c>
      <c r="P25" s="74">
        <v>1.0071447004799999E-3</v>
      </c>
      <c r="Q25" s="74">
        <v>8.0216040801000003E-4</v>
      </c>
      <c r="R25" s="74">
        <v>6.1534045706000001E-4</v>
      </c>
      <c r="S25" s="74">
        <v>4.7386253642000002E-4</v>
      </c>
      <c r="T25" s="74">
        <v>1.2919268928E-4</v>
      </c>
      <c r="U25" s="74">
        <v>-5.1891198182000002E-4</v>
      </c>
      <c r="V25" s="74">
        <v>-1.0242991478000001E-3</v>
      </c>
      <c r="W25" s="74">
        <v>-1.5911501391799999E-3</v>
      </c>
      <c r="X25" s="74">
        <v>-2.1024672932900001E-3</v>
      </c>
      <c r="Y25" s="74">
        <v>-2.3377197764000001E-3</v>
      </c>
      <c r="Z25" s="74">
        <v>-2.5166359864600002E-3</v>
      </c>
      <c r="AA25" s="74">
        <v>-2.7384143414799999E-3</v>
      </c>
      <c r="AB25" s="74">
        <v>-2.9086096682999999E-3</v>
      </c>
      <c r="AC25" s="74">
        <v>-3.0056466368900002E-3</v>
      </c>
      <c r="AD25" s="74">
        <v>-3.2201500277E-3</v>
      </c>
      <c r="AE25" s="74">
        <v>-3.3490088780700001E-3</v>
      </c>
      <c r="AF25" s="20">
        <f t="shared" si="1"/>
        <v>5.0720146549357006</v>
      </c>
      <c r="AG25" s="76">
        <f t="shared" si="0"/>
        <v>1.6722673370241289E-3</v>
      </c>
      <c r="AH25" s="76" t="str">
        <f>IFERROR(VLOOKUP(AJ25,Area_CLCL!$A$5:$E$51,5),"")</f>
        <v/>
      </c>
      <c r="AI25" s="76" t="str">
        <f t="shared" ca="1" si="2"/>
        <v/>
      </c>
      <c r="AJ25" s="76"/>
      <c r="AK25" s="76"/>
    </row>
    <row r="26" spans="1:37" x14ac:dyDescent="0.3">
      <c r="A26" s="76" t="s">
        <v>258</v>
      </c>
      <c r="B26" s="74">
        <v>8.3770397935000005E-4</v>
      </c>
      <c r="C26" s="74">
        <v>8.3770397935000005E-4</v>
      </c>
      <c r="D26" s="74">
        <v>9.5586004618000004E-4</v>
      </c>
      <c r="E26" s="74">
        <v>1.0292290673300001E-3</v>
      </c>
      <c r="F26" s="74">
        <v>1.05489911916E-3</v>
      </c>
      <c r="G26" s="74">
        <v>1.1217191854499999E-3</v>
      </c>
      <c r="H26" s="74">
        <v>1.1356702812E-3</v>
      </c>
      <c r="I26" s="74">
        <v>1.0814779036600001E-3</v>
      </c>
      <c r="J26" s="74">
        <v>1.14477274196E-3</v>
      </c>
      <c r="K26" s="74">
        <v>1.12679912997E-3</v>
      </c>
      <c r="L26" s="74">
        <v>9.9465866406999999E-4</v>
      </c>
      <c r="M26" s="74">
        <v>1.1001736386399999E-3</v>
      </c>
      <c r="N26" s="74">
        <v>1.1116764137100001E-3</v>
      </c>
      <c r="O26" s="74">
        <v>1.06628502335E-3</v>
      </c>
      <c r="P26" s="74">
        <v>1.0915145717000001E-3</v>
      </c>
      <c r="Q26" s="74">
        <v>8.6922140837999995E-4</v>
      </c>
      <c r="R26" s="74">
        <v>6.6712956257999998E-4</v>
      </c>
      <c r="S26" s="74">
        <v>5.1417259394999999E-4</v>
      </c>
      <c r="T26" s="74">
        <v>1.4035757137E-4</v>
      </c>
      <c r="U26" s="74">
        <v>-5.6433856399999997E-4</v>
      </c>
      <c r="V26" s="74">
        <v>-1.11439363119E-3</v>
      </c>
      <c r="W26" s="74">
        <v>-1.73097978487E-3</v>
      </c>
      <c r="X26" s="74">
        <v>-2.2866509196300001E-3</v>
      </c>
      <c r="Y26" s="74">
        <v>-2.54208739753E-3</v>
      </c>
      <c r="Z26" s="74">
        <v>-2.73642292006E-3</v>
      </c>
      <c r="AA26" s="74">
        <v>-2.9770391169600002E-3</v>
      </c>
      <c r="AB26" s="74">
        <v>-3.16229199473E-3</v>
      </c>
      <c r="AC26" s="74">
        <v>-3.2681053607599999E-3</v>
      </c>
      <c r="AD26" s="74">
        <v>-3.5021735191600001E-3</v>
      </c>
      <c r="AE26" s="74">
        <v>-3.64341473183E-3</v>
      </c>
      <c r="AF26" s="20">
        <f t="shared" si="1"/>
        <v>5.023597482173539</v>
      </c>
      <c r="AG26" s="76">
        <f t="shared" si="0"/>
        <v>1.8162170625282091E-3</v>
      </c>
      <c r="AH26" s="76">
        <f>IFERROR(VLOOKUP(AJ26,Area_CLCL!$A$5:$E$51,5),"")</f>
        <v>1</v>
      </c>
      <c r="AI26" s="76">
        <f t="shared" ca="1" si="2"/>
        <v>12409.887161000001</v>
      </c>
      <c r="AJ26" s="76" t="s">
        <v>34</v>
      </c>
      <c r="AK26" s="76"/>
    </row>
    <row r="27" spans="1:37" x14ac:dyDescent="0.3">
      <c r="A27" s="76" t="s">
        <v>259</v>
      </c>
      <c r="B27" s="74">
        <v>1.1310097142800001E-2</v>
      </c>
      <c r="C27" s="74">
        <v>1.1310097142800001E-2</v>
      </c>
      <c r="D27" s="74">
        <v>1.3295027828939999E-2</v>
      </c>
      <c r="E27" s="74">
        <v>1.269623376538E-2</v>
      </c>
      <c r="F27" s="74">
        <v>1.239502595931E-2</v>
      </c>
      <c r="G27" s="74">
        <v>1.220012233698E-2</v>
      </c>
      <c r="H27" s="74">
        <v>1.2055121053669999E-2</v>
      </c>
      <c r="I27" s="74">
        <v>1.193669994097E-2</v>
      </c>
      <c r="J27" s="74">
        <v>1.1852942381389999E-2</v>
      </c>
      <c r="K27" s="74">
        <v>1.1797434391619999E-2</v>
      </c>
      <c r="L27" s="74">
        <v>1.1757454479850001E-2</v>
      </c>
      <c r="M27" s="74">
        <v>1.173942801244E-2</v>
      </c>
      <c r="N27" s="74">
        <v>1.222822784653E-2</v>
      </c>
      <c r="O27" s="74">
        <v>1.2747133418930001E-2</v>
      </c>
      <c r="P27" s="74">
        <v>1.331982228213E-2</v>
      </c>
      <c r="Q27" s="74">
        <v>1.386585311688E-2</v>
      </c>
      <c r="R27" s="74">
        <v>1.450672237086E-2</v>
      </c>
      <c r="S27" s="74">
        <v>1.272175493238E-2</v>
      </c>
      <c r="T27" s="74">
        <v>1.096801652303E-2</v>
      </c>
      <c r="U27" s="74">
        <v>9.0460298255099995E-3</v>
      </c>
      <c r="V27" s="74">
        <v>8.6404468400999995E-3</v>
      </c>
      <c r="W27" s="74">
        <v>8.2012990197299993E-3</v>
      </c>
      <c r="X27" s="74">
        <v>7.7907354553599997E-3</v>
      </c>
      <c r="Y27" s="74">
        <v>7.36358117741E-3</v>
      </c>
      <c r="Z27" s="74">
        <v>6.8330922519099996E-3</v>
      </c>
      <c r="AA27" s="74">
        <v>6.2771615711100003E-3</v>
      </c>
      <c r="AB27" s="74">
        <v>5.6513154281299998E-3</v>
      </c>
      <c r="AC27" s="74">
        <v>4.9797948965299996E-3</v>
      </c>
      <c r="AD27" s="74">
        <v>5.29623753024E-3</v>
      </c>
      <c r="AE27" s="74">
        <v>5.5954759688299997E-3</v>
      </c>
      <c r="AF27" s="20">
        <f t="shared" si="1"/>
        <v>0.28555761664044704</v>
      </c>
      <c r="AG27" s="76">
        <f t="shared" si="0"/>
        <v>2.9448699124941229E-3</v>
      </c>
      <c r="AH27" s="76">
        <f>IFERROR(VLOOKUP(AJ27,Area_CLCL!$A$5:$E$51,5),"")</f>
        <v>1</v>
      </c>
      <c r="AI27" s="76">
        <f t="shared" ca="1" si="2"/>
        <v>4185.7290000000003</v>
      </c>
      <c r="AJ27" s="76" t="s">
        <v>35</v>
      </c>
      <c r="AK27" s="76"/>
    </row>
    <row r="28" spans="1:37" x14ac:dyDescent="0.3">
      <c r="A28" s="76" t="s">
        <v>260</v>
      </c>
      <c r="B28" s="76" t="s">
        <v>23</v>
      </c>
      <c r="C28" s="76" t="s">
        <v>23</v>
      </c>
      <c r="D28" s="76" t="s">
        <v>23</v>
      </c>
      <c r="E28" s="76" t="s">
        <v>23</v>
      </c>
      <c r="F28" s="76" t="s">
        <v>23</v>
      </c>
      <c r="G28" s="76" t="s">
        <v>23</v>
      </c>
      <c r="H28" s="76" t="s">
        <v>23</v>
      </c>
      <c r="I28" s="76" t="s">
        <v>23</v>
      </c>
      <c r="J28" s="76" t="s">
        <v>23</v>
      </c>
      <c r="K28" s="76" t="s">
        <v>23</v>
      </c>
      <c r="L28" s="76" t="s">
        <v>23</v>
      </c>
      <c r="M28" s="76" t="s">
        <v>23</v>
      </c>
      <c r="N28" s="76" t="s">
        <v>23</v>
      </c>
      <c r="O28" s="76" t="s">
        <v>23</v>
      </c>
      <c r="P28" s="76" t="s">
        <v>23</v>
      </c>
      <c r="Q28" s="76" t="s">
        <v>23</v>
      </c>
      <c r="R28" s="76" t="s">
        <v>23</v>
      </c>
      <c r="S28" s="76" t="s">
        <v>23</v>
      </c>
      <c r="T28" s="76" t="s">
        <v>23</v>
      </c>
      <c r="U28" s="76" t="s">
        <v>23</v>
      </c>
      <c r="V28" s="76" t="s">
        <v>23</v>
      </c>
      <c r="W28" s="76" t="s">
        <v>23</v>
      </c>
      <c r="X28" s="76" t="s">
        <v>23</v>
      </c>
      <c r="Y28" s="76" t="s">
        <v>23</v>
      </c>
      <c r="Z28" s="76" t="s">
        <v>23</v>
      </c>
      <c r="AA28" s="76" t="s">
        <v>23</v>
      </c>
      <c r="AB28" s="76" t="s">
        <v>23</v>
      </c>
      <c r="AC28" s="76" t="s">
        <v>23</v>
      </c>
      <c r="AD28" s="76" t="s">
        <v>23</v>
      </c>
      <c r="AE28" s="76" t="s">
        <v>23</v>
      </c>
      <c r="AF28" s="20" t="e">
        <f t="shared" si="1"/>
        <v>#DIV/0!</v>
      </c>
      <c r="AG28" s="76">
        <f t="shared" si="0"/>
        <v>0</v>
      </c>
      <c r="AH28" s="76">
        <f>IFERROR(VLOOKUP(AJ28,Area_CLCL!$A$5:$E$51,5),"")</f>
        <v>1</v>
      </c>
      <c r="AI28" s="76">
        <f t="shared" ca="1" si="2"/>
        <v>4732.2605230875197</v>
      </c>
      <c r="AJ28" s="76" t="s">
        <v>36</v>
      </c>
      <c r="AK28" s="76"/>
    </row>
    <row r="29" spans="1:37" x14ac:dyDescent="0.3">
      <c r="A29" s="76" t="s">
        <v>261</v>
      </c>
      <c r="B29" s="74">
        <v>3.3151267996000002E-3</v>
      </c>
      <c r="C29" s="74">
        <v>-1.070600263995E-2</v>
      </c>
      <c r="D29" s="74">
        <v>-1.3603797384899999E-3</v>
      </c>
      <c r="E29" s="74">
        <v>-1.09701113867E-2</v>
      </c>
      <c r="F29" s="74">
        <v>-2.7266753914059999E-2</v>
      </c>
      <c r="G29" s="74">
        <v>-3.4724865557169998E-2</v>
      </c>
      <c r="H29" s="74">
        <v>-1.884046561714E-2</v>
      </c>
      <c r="I29" s="74">
        <v>-1.232348241752E-2</v>
      </c>
      <c r="J29" s="74">
        <v>-1.554771870124E-2</v>
      </c>
      <c r="K29" s="74">
        <v>-8.6665787062299993E-3</v>
      </c>
      <c r="L29" s="74">
        <v>-5.8495205267099998E-3</v>
      </c>
      <c r="M29" s="74">
        <v>-2.42440229547E-3</v>
      </c>
      <c r="N29" s="74">
        <v>-5.9831332411999999E-3</v>
      </c>
      <c r="O29" s="74">
        <v>-1.55330860315E-3</v>
      </c>
      <c r="P29" s="74">
        <v>-1.55330860315E-3</v>
      </c>
      <c r="Q29" s="74">
        <v>-1.9571743743E-4</v>
      </c>
      <c r="R29" s="74">
        <v>-1.64639682728E-3</v>
      </c>
      <c r="S29" s="74">
        <v>-1.64639682728E-3</v>
      </c>
      <c r="T29" s="74">
        <v>-1.64639682728E-3</v>
      </c>
      <c r="U29" s="74">
        <v>3.68871048564E-3</v>
      </c>
      <c r="V29" s="74">
        <v>-3.9561143082600001E-3</v>
      </c>
      <c r="W29" s="74">
        <v>8.2917509559999995E-5</v>
      </c>
      <c r="X29" s="74">
        <v>3.7093968704999999E-4</v>
      </c>
      <c r="Y29" s="74">
        <v>-1.9561522587000001E-4</v>
      </c>
      <c r="Z29" s="74">
        <v>6.9419550900000002E-4</v>
      </c>
      <c r="AA29" s="74">
        <v>5.4036729263000002E-4</v>
      </c>
      <c r="AB29" s="74">
        <v>1.26564663882E-3</v>
      </c>
      <c r="AC29" s="74">
        <v>-3.2125186081599999E-3</v>
      </c>
      <c r="AD29" s="76" t="s">
        <v>270</v>
      </c>
      <c r="AE29" s="74">
        <v>-1.4885343383000001E-4</v>
      </c>
      <c r="AF29" s="20">
        <f t="shared" si="1"/>
        <v>1.5209232769220336</v>
      </c>
      <c r="AG29" s="76">
        <f t="shared" si="0"/>
        <v>8.8960575603453523E-3</v>
      </c>
      <c r="AH29" s="76">
        <f>IFERROR(VLOOKUP(AJ29,Area_CLCL!$A$5:$E$51,5),"")</f>
        <v>1</v>
      </c>
      <c r="AI29" s="76">
        <f t="shared" ca="1" si="2"/>
        <v>1127.0948785111796</v>
      </c>
      <c r="AJ29" s="76" t="s">
        <v>38</v>
      </c>
      <c r="AK29" s="76"/>
    </row>
    <row r="30" spans="1:37" x14ac:dyDescent="0.3">
      <c r="A30" s="76" t="s">
        <v>262</v>
      </c>
      <c r="B30" s="74">
        <v>1.0420596159999999E-5</v>
      </c>
      <c r="C30" s="74">
        <v>1.0420596159999999E-5</v>
      </c>
      <c r="D30" s="74">
        <v>2.0876234739999999E-5</v>
      </c>
      <c r="E30" s="74">
        <v>3.1328668250000002E-5</v>
      </c>
      <c r="F30" s="74">
        <v>4.179811328E-5</v>
      </c>
      <c r="G30" s="74">
        <v>5.2263660140000001E-5</v>
      </c>
      <c r="H30" s="74">
        <v>6.2767270020000002E-5</v>
      </c>
      <c r="I30" s="74">
        <v>7.3297621270000004E-5</v>
      </c>
      <c r="J30" s="74">
        <v>8.3815141949999996E-5</v>
      </c>
      <c r="K30" s="74">
        <v>9.435390471E-5</v>
      </c>
      <c r="L30" s="74">
        <v>1.0489564916E-4</v>
      </c>
      <c r="M30" s="74">
        <v>1.1546707234E-4</v>
      </c>
      <c r="N30" s="74">
        <v>1.2601931108E-4</v>
      </c>
      <c r="O30" s="74">
        <v>1.3662848464E-4</v>
      </c>
      <c r="P30" s="74">
        <v>1.4725516013E-4</v>
      </c>
      <c r="Q30" s="74">
        <v>1.5788616418999999E-4</v>
      </c>
      <c r="R30" s="74">
        <v>1.685724453E-4</v>
      </c>
      <c r="S30" s="74">
        <v>1.7926141238E-4</v>
      </c>
      <c r="T30" s="74">
        <v>1.8996525917E-4</v>
      </c>
      <c r="U30" s="74">
        <v>2.0063845338999999E-4</v>
      </c>
      <c r="V30" s="74">
        <v>2.1136950816999999E-4</v>
      </c>
      <c r="W30" s="74">
        <v>2.2193081932000001E-4</v>
      </c>
      <c r="X30" s="74">
        <v>2.3248601435999999E-4</v>
      </c>
      <c r="Y30" s="74">
        <v>2.4302424613E-4</v>
      </c>
      <c r="Z30" s="74">
        <v>2.5354771594000001E-4</v>
      </c>
      <c r="AA30" s="74">
        <v>2.6409510983000002E-4</v>
      </c>
      <c r="AB30" s="74">
        <v>2.7463194716000001E-4</v>
      </c>
      <c r="AC30" s="74">
        <v>2.8516405051999999E-4</v>
      </c>
      <c r="AD30" s="74">
        <v>2.9566762164999998E-4</v>
      </c>
      <c r="AE30" s="74">
        <v>3.0362264125000001E-4</v>
      </c>
      <c r="AF30" s="20">
        <f t="shared" si="1"/>
        <v>0.5694486327470355</v>
      </c>
      <c r="AG30" s="76">
        <f t="shared" si="0"/>
        <v>8.9993507766443059E-5</v>
      </c>
      <c r="AH30" s="76" t="str">
        <f>IFERROR(VLOOKUP(AJ30,Area_CLCL!$A$5:$E$51,5),"")</f>
        <v/>
      </c>
      <c r="AI30" s="76" t="str">
        <f t="shared" ca="1" si="2"/>
        <v/>
      </c>
      <c r="AJ30" s="76"/>
      <c r="AK30" s="76"/>
    </row>
    <row r="31" spans="1:37" x14ac:dyDescent="0.3">
      <c r="A31" s="76" t="s">
        <v>263</v>
      </c>
      <c r="B31" s="74">
        <v>-9.1615642354599992E-3</v>
      </c>
      <c r="C31" s="74">
        <v>-9.1615642354599992E-3</v>
      </c>
      <c r="D31" s="74">
        <v>-2.8558434560340001E-2</v>
      </c>
      <c r="E31" s="74">
        <v>1.6920468177589999E-2</v>
      </c>
      <c r="F31" s="74">
        <v>3.0717168673229999E-2</v>
      </c>
      <c r="G31" s="74">
        <v>3.7793939339029997E-2</v>
      </c>
      <c r="H31" s="74">
        <v>2.2198908056450001E-2</v>
      </c>
      <c r="I31" s="74">
        <v>4.2966051908650001E-2</v>
      </c>
      <c r="J31" s="74">
        <v>2.148377939987E-2</v>
      </c>
      <c r="K31" s="74">
        <v>2.938793910981E-2</v>
      </c>
      <c r="L31" s="74">
        <v>4.0147226204560002E-2</v>
      </c>
      <c r="M31" s="74">
        <v>7.1992291262560001E-2</v>
      </c>
      <c r="N31" s="74">
        <v>7.8998003475759998E-2</v>
      </c>
      <c r="O31" s="74">
        <v>4.6121509835249999E-2</v>
      </c>
      <c r="P31" s="74">
        <v>6.0432054559589998E-2</v>
      </c>
      <c r="Q31" s="74">
        <v>7.7432421872159998E-2</v>
      </c>
      <c r="R31" s="74">
        <v>8.7488339234620002E-2</v>
      </c>
      <c r="S31" s="74">
        <v>8.8706961062640005E-2</v>
      </c>
      <c r="T31" s="74">
        <v>8.2272715627070003E-2</v>
      </c>
      <c r="U31" s="74">
        <v>7.5749308170909996E-2</v>
      </c>
      <c r="V31" s="74">
        <v>8.5286168188690004E-2</v>
      </c>
      <c r="W31" s="74">
        <v>0.12599633152227999</v>
      </c>
      <c r="X31" s="74">
        <v>0.11821091212048999</v>
      </c>
      <c r="Y31" s="74">
        <v>0.10655586074004</v>
      </c>
      <c r="Z31" s="74">
        <v>0.11039442006415</v>
      </c>
      <c r="AA31" s="74">
        <v>0.11462975983267</v>
      </c>
      <c r="AB31" s="74">
        <v>0.11086707804885999</v>
      </c>
      <c r="AC31" s="74">
        <v>0.12125611024966</v>
      </c>
      <c r="AD31" s="74">
        <v>0.13853080589962999</v>
      </c>
      <c r="AE31" s="74">
        <v>0.14804872033663</v>
      </c>
      <c r="AF31" s="20">
        <f t="shared" si="1"/>
        <v>0.6354186481078179</v>
      </c>
      <c r="AG31" s="76">
        <f t="shared" si="0"/>
        <v>4.4980305674368733E-2</v>
      </c>
      <c r="AH31" s="76">
        <f>IFERROR(VLOOKUP(AJ31,Area_CLCL!$A$5:$E$51,5),"")</f>
        <v>1</v>
      </c>
      <c r="AI31" s="76">
        <f t="shared" ca="1" si="2"/>
        <v>3815.0024094420801</v>
      </c>
      <c r="AJ31" s="76" t="s">
        <v>39</v>
      </c>
      <c r="AK31" s="76"/>
    </row>
    <row r="32" spans="1:37" x14ac:dyDescent="0.3">
      <c r="A32" s="76" t="s">
        <v>264</v>
      </c>
      <c r="B32" s="74">
        <v>-3.8900894764999998E-3</v>
      </c>
      <c r="C32" s="74">
        <v>-3.8900894764999998E-3</v>
      </c>
      <c r="D32" s="74">
        <v>4.0287070329899999E-3</v>
      </c>
      <c r="E32" s="74">
        <v>1.370528617488E-2</v>
      </c>
      <c r="F32" s="74">
        <v>2.1204890717129998E-2</v>
      </c>
      <c r="G32" s="74">
        <v>2.8760822600020001E-2</v>
      </c>
      <c r="H32" s="74">
        <v>3.4413937082270002E-2</v>
      </c>
      <c r="I32" s="74">
        <v>3.7036309761379997E-2</v>
      </c>
      <c r="J32" s="74">
        <v>4.3539451868500001E-2</v>
      </c>
      <c r="K32" s="74">
        <v>4.4854527476499997E-2</v>
      </c>
      <c r="L32" s="74">
        <v>4.321672481253E-2</v>
      </c>
      <c r="M32" s="74">
        <v>4.5027373450490002E-2</v>
      </c>
      <c r="N32" s="74">
        <v>5.2379846824739999E-2</v>
      </c>
      <c r="O32" s="74">
        <v>5.4461186408340002E-2</v>
      </c>
      <c r="P32" s="74">
        <v>5.4038189204500001E-2</v>
      </c>
      <c r="Q32" s="74">
        <v>5.7195106598199999E-2</v>
      </c>
      <c r="R32" s="74">
        <v>5.9459131413939999E-2</v>
      </c>
      <c r="S32" s="74">
        <v>6.0048646625710002E-2</v>
      </c>
      <c r="T32" s="74">
        <v>5.8707709463839998E-2</v>
      </c>
      <c r="U32" s="74">
        <v>5.1506538258219998E-2</v>
      </c>
      <c r="V32" s="74">
        <v>6.2092173382060002E-2</v>
      </c>
      <c r="W32" s="74">
        <v>7.1294868634280001E-2</v>
      </c>
      <c r="X32" s="74">
        <v>5.4890918585410002E-2</v>
      </c>
      <c r="Y32" s="74">
        <v>3.8290660031890002E-2</v>
      </c>
      <c r="Z32" s="74">
        <v>2.9321617563659998E-2</v>
      </c>
      <c r="AA32" s="74">
        <v>4.6936184652640003E-2</v>
      </c>
      <c r="AB32" s="74">
        <v>3.2947933973259999E-2</v>
      </c>
      <c r="AC32" s="74">
        <v>3.5259212204819999E-2</v>
      </c>
      <c r="AD32" s="74">
        <v>1.963350906242E-2</v>
      </c>
      <c r="AE32" s="74">
        <v>1.883049763696E-2</v>
      </c>
      <c r="AF32" s="20">
        <f t="shared" si="1"/>
        <v>0.45464390571196017</v>
      </c>
      <c r="AG32" s="76">
        <f t="shared" si="0"/>
        <v>1.8329860662902091E-2</v>
      </c>
      <c r="AH32" s="76">
        <f>IFERROR(VLOOKUP(AJ32,Area_CLCL!$A$5:$E$51,5),"")</f>
        <v>1</v>
      </c>
      <c r="AI32" s="76">
        <f t="shared" ca="1" si="2"/>
        <v>6748.7134176222762</v>
      </c>
      <c r="AJ32" s="76" t="s">
        <v>40</v>
      </c>
      <c r="AK32" s="76"/>
    </row>
    <row r="33" spans="1:36" x14ac:dyDescent="0.3">
      <c r="A33" s="76" t="s">
        <v>265</v>
      </c>
      <c r="B33" s="74">
        <v>-0.35395757938368</v>
      </c>
      <c r="C33" s="74">
        <v>-0.35395757938368</v>
      </c>
      <c r="D33" s="74">
        <v>-0.27951472847241998</v>
      </c>
      <c r="E33" s="74">
        <v>1.1999084865460001E-2</v>
      </c>
      <c r="F33" s="74">
        <v>8.9044654695079994E-2</v>
      </c>
      <c r="G33" s="74">
        <v>-1.7612411275139999E-2</v>
      </c>
      <c r="H33" s="74">
        <v>-0.2146218549926</v>
      </c>
      <c r="I33" s="74">
        <v>-9.6386866924470002E-2</v>
      </c>
      <c r="J33" s="74">
        <v>-4.01108940423E-3</v>
      </c>
      <c r="K33" s="74">
        <v>5.3063541799299998E-3</v>
      </c>
      <c r="L33" s="74">
        <v>0.13674287275064001</v>
      </c>
      <c r="M33" s="74">
        <v>-6.0704330311900003E-3</v>
      </c>
      <c r="N33" s="74">
        <v>8.2498915817559998E-2</v>
      </c>
      <c r="O33" s="74">
        <v>0.16282055954558999</v>
      </c>
      <c r="P33" s="74">
        <v>0.37222179120484</v>
      </c>
      <c r="Q33" s="74">
        <v>0.28450920947994002</v>
      </c>
      <c r="R33" s="74">
        <v>0.33367162198778</v>
      </c>
      <c r="S33" s="74">
        <v>0.15293221966076001</v>
      </c>
      <c r="T33" s="74">
        <v>0.30820492350243001</v>
      </c>
      <c r="U33" s="74">
        <v>0.40839496416850002</v>
      </c>
      <c r="V33" s="74">
        <v>0.11499669202627</v>
      </c>
      <c r="W33" s="74">
        <v>5.9349032499779998E-2</v>
      </c>
      <c r="X33" s="74">
        <v>-2.7267693634419998E-2</v>
      </c>
      <c r="Y33" s="74">
        <v>6.9268584683690002E-2</v>
      </c>
      <c r="Z33" s="74">
        <v>9.5406927585169998E-2</v>
      </c>
      <c r="AA33" s="74">
        <v>4.0536563215000002E-2</v>
      </c>
      <c r="AB33" s="74">
        <v>6.2151110682050002E-2</v>
      </c>
      <c r="AC33" s="74">
        <v>7.7610101412859997E-2</v>
      </c>
      <c r="AD33" s="74">
        <v>8.7694412232210001E-2</v>
      </c>
      <c r="AE33" s="74">
        <v>0.1139918603966</v>
      </c>
      <c r="AF33" s="20">
        <f t="shared" si="1"/>
        <v>2.4426385658024512</v>
      </c>
      <c r="AG33" s="76">
        <f t="shared" si="0"/>
        <v>0.1743462587561237</v>
      </c>
      <c r="AH33" s="76" t="str">
        <f>IFERROR(VLOOKUP(AJ33,Area_CLCL!$A$5:$E$51,5),"")</f>
        <v/>
      </c>
      <c r="AI33" s="76" t="str">
        <f t="shared" ca="1" si="2"/>
        <v/>
      </c>
      <c r="AJ33" s="76"/>
    </row>
    <row r="34" spans="1:36" x14ac:dyDescent="0.3">
      <c r="A34" s="76" t="s">
        <v>266</v>
      </c>
      <c r="B34" s="74">
        <v>8.98975063895E-3</v>
      </c>
      <c r="C34" s="74">
        <v>8.98975063895E-3</v>
      </c>
      <c r="D34" s="74">
        <v>9.9633891213400001E-3</v>
      </c>
      <c r="E34" s="74">
        <v>1.0938399539439999E-2</v>
      </c>
      <c r="F34" s="74">
        <v>1.1914737613910001E-2</v>
      </c>
      <c r="G34" s="74">
        <v>1.2892406058380001E-2</v>
      </c>
      <c r="H34" s="74">
        <v>1.3892385147890001E-2</v>
      </c>
      <c r="I34" s="74">
        <v>1.483600104959E-2</v>
      </c>
      <c r="J34" s="74">
        <v>1.5817666211529999E-2</v>
      </c>
      <c r="K34" s="74">
        <v>1.6800672657519999E-2</v>
      </c>
      <c r="L34" s="74">
        <v>1.7785023138409999E-2</v>
      </c>
      <c r="M34" s="74">
        <v>1.8770819190759999E-2</v>
      </c>
      <c r="N34" s="74">
        <v>2.028987033225E-2</v>
      </c>
      <c r="O34" s="74">
        <v>2.1810348459949998E-2</v>
      </c>
      <c r="P34" s="74">
        <v>2.3332156538329998E-2</v>
      </c>
      <c r="Q34" s="74">
        <v>2.4855296313090001E-2</v>
      </c>
      <c r="R34" s="74">
        <v>2.6379769532999999E-2</v>
      </c>
      <c r="S34" s="74">
        <v>2.7921406411579999E-2</v>
      </c>
      <c r="T34" s="74">
        <v>2.944840327263E-2</v>
      </c>
      <c r="U34" s="74">
        <v>3.0977213318200001E-2</v>
      </c>
      <c r="V34" s="74">
        <v>3.2506537760520003E-2</v>
      </c>
      <c r="W34" s="74">
        <v>3.615126450147E-2</v>
      </c>
      <c r="X34" s="74">
        <v>3.227443579211E-2</v>
      </c>
      <c r="Y34" s="74">
        <v>3.0505732052960002E-2</v>
      </c>
      <c r="Z34" s="74">
        <v>2.8730859757229998E-2</v>
      </c>
      <c r="AA34" s="74">
        <v>2.69656858077E-2</v>
      </c>
      <c r="AB34" s="74">
        <v>2.519963380625E-2</v>
      </c>
      <c r="AC34" s="74">
        <v>2.3432951165030001E-2</v>
      </c>
      <c r="AD34" s="74">
        <v>2.1674991657349998E-2</v>
      </c>
      <c r="AE34" s="74">
        <v>1.9080309988820002E-2</v>
      </c>
      <c r="AF34" s="20">
        <f t="shared" si="1"/>
        <v>0.34718417099240045</v>
      </c>
      <c r="AG34" s="76">
        <f t="shared" si="0"/>
        <v>7.591817806498433E-3</v>
      </c>
      <c r="AH34" s="76" t="str">
        <f>IFERROR(VLOOKUP(AJ34,Area_CLCL!$A$5:$E$51,5),"")</f>
        <v/>
      </c>
      <c r="AI34" s="76" t="str">
        <f t="shared" ca="1" si="2"/>
        <v/>
      </c>
      <c r="AJ34" s="76"/>
    </row>
    <row r="35" spans="1:36" x14ac:dyDescent="0.3">
      <c r="A35" s="76" t="s">
        <v>267</v>
      </c>
      <c r="B35" s="76" t="s">
        <v>52</v>
      </c>
      <c r="C35" s="76" t="s">
        <v>52</v>
      </c>
      <c r="D35" s="76" t="s">
        <v>52</v>
      </c>
      <c r="E35" s="76" t="s">
        <v>52</v>
      </c>
      <c r="F35" s="76" t="s">
        <v>52</v>
      </c>
      <c r="G35" s="76" t="s">
        <v>52</v>
      </c>
      <c r="H35" s="76" t="s">
        <v>52</v>
      </c>
      <c r="I35" s="76" t="s">
        <v>52</v>
      </c>
      <c r="J35" s="76" t="s">
        <v>52</v>
      </c>
      <c r="K35" s="76" t="s">
        <v>52</v>
      </c>
      <c r="L35" s="76" t="s">
        <v>52</v>
      </c>
      <c r="M35" s="76" t="s">
        <v>52</v>
      </c>
      <c r="N35" s="76" t="s">
        <v>52</v>
      </c>
      <c r="O35" s="76" t="s">
        <v>52</v>
      </c>
      <c r="P35" s="76" t="s">
        <v>52</v>
      </c>
      <c r="Q35" s="76" t="s">
        <v>52</v>
      </c>
      <c r="R35" s="76" t="s">
        <v>52</v>
      </c>
      <c r="S35" s="76" t="s">
        <v>52</v>
      </c>
      <c r="T35" s="76" t="s">
        <v>52</v>
      </c>
      <c r="U35" s="76" t="s">
        <v>52</v>
      </c>
      <c r="V35" s="76" t="s">
        <v>52</v>
      </c>
      <c r="W35" s="76" t="s">
        <v>52</v>
      </c>
      <c r="X35" s="76" t="s">
        <v>52</v>
      </c>
      <c r="Y35" s="76" t="s">
        <v>52</v>
      </c>
      <c r="Z35" s="76" t="s">
        <v>52</v>
      </c>
      <c r="AA35" s="76" t="s">
        <v>52</v>
      </c>
      <c r="AB35" s="76" t="s">
        <v>52</v>
      </c>
      <c r="AC35" s="76" t="s">
        <v>52</v>
      </c>
      <c r="AD35" s="76" t="s">
        <v>52</v>
      </c>
      <c r="AE35" s="76" t="s">
        <v>52</v>
      </c>
      <c r="AF35" s="20" t="e">
        <f t="shared" si="1"/>
        <v>#DIV/0!</v>
      </c>
      <c r="AG35" s="76">
        <f t="shared" si="0"/>
        <v>0</v>
      </c>
      <c r="AH35" s="76">
        <f>IFERROR(VLOOKUP(AJ35,Area_CLCL!$A$5:$E$51,5),"")</f>
        <v>1</v>
      </c>
      <c r="AI35" s="76">
        <f t="shared" ca="1" si="2"/>
        <v>410.90356600000001</v>
      </c>
      <c r="AJ35" s="76" t="s">
        <v>41</v>
      </c>
    </row>
    <row r="36" spans="1:36" x14ac:dyDescent="0.3">
      <c r="A36" s="76" t="s">
        <v>268</v>
      </c>
      <c r="B36" s="74">
        <v>7.2386882167E-3</v>
      </c>
      <c r="C36" s="74">
        <v>7.2386882167E-3</v>
      </c>
      <c r="D36" s="74">
        <v>7.2738537779300002E-3</v>
      </c>
      <c r="E36" s="74">
        <v>7.3093626758199996E-3</v>
      </c>
      <c r="F36" s="74">
        <v>7.3452199632599996E-3</v>
      </c>
      <c r="G36" s="74">
        <v>7.3814307927599996E-3</v>
      </c>
      <c r="H36" s="74">
        <v>7.4180004189499998E-3</v>
      </c>
      <c r="I36" s="74">
        <v>7.4549342011299997E-3</v>
      </c>
      <c r="J36" s="74">
        <v>7.5162020513299998E-3</v>
      </c>
      <c r="K36" s="74">
        <v>7.5779377226399998E-3</v>
      </c>
      <c r="L36" s="74">
        <v>7.6406664091799997E-3</v>
      </c>
      <c r="M36" s="74">
        <v>7.7038816821499998E-3</v>
      </c>
      <c r="N36" s="74">
        <v>7.7681240672900003E-3</v>
      </c>
      <c r="O36" s="74">
        <v>7.8328727933300001E-3</v>
      </c>
      <c r="P36" s="74">
        <v>9.0493279214599997E-3</v>
      </c>
      <c r="Q36" s="74">
        <v>1.0278148095269999E-2</v>
      </c>
      <c r="R36" s="74">
        <v>1.152021235169E-2</v>
      </c>
      <c r="S36" s="74">
        <v>1.277495382127E-2</v>
      </c>
      <c r="T36" s="74">
        <v>1.4043443592929999E-2</v>
      </c>
      <c r="U36" s="74">
        <v>1.532493620415E-2</v>
      </c>
      <c r="V36" s="74">
        <v>1.6195149192830001E-2</v>
      </c>
      <c r="W36" s="74">
        <v>1.7078895989320001E-2</v>
      </c>
      <c r="X36" s="74">
        <v>1.7977735561389999E-2</v>
      </c>
      <c r="Y36" s="74">
        <v>1.8890738363789999E-2</v>
      </c>
      <c r="Z36" s="74">
        <v>1.9819639717950002E-2</v>
      </c>
      <c r="AA36" s="74">
        <v>2.076337668254E-2</v>
      </c>
      <c r="AB36" s="74">
        <v>2.1776900533380002E-2</v>
      </c>
      <c r="AC36" s="74">
        <v>2.2807433100750001E-2</v>
      </c>
      <c r="AD36" s="74">
        <v>2.3755070512790001E-2</v>
      </c>
      <c r="AE36" s="74">
        <v>2.4715698955309999E-2</v>
      </c>
      <c r="AF36" s="20">
        <f t="shared" si="1"/>
        <v>0.47337774951155093</v>
      </c>
      <c r="AG36" s="76">
        <f t="shared" si="0"/>
        <v>6.1087412896703884E-3</v>
      </c>
      <c r="AH36" s="76" t="str">
        <f>IFERROR(VLOOKUP(AJ36,Area_CLCL!$A$5:$E$51,5),"")</f>
        <v/>
      </c>
      <c r="AI36" s="76" t="str">
        <f t="shared" ca="1" si="2"/>
        <v/>
      </c>
      <c r="AJ36" s="76"/>
    </row>
    <row r="37" spans="1:36" x14ac:dyDescent="0.3">
      <c r="A37" s="76" t="s">
        <v>269</v>
      </c>
      <c r="B37" s="76" t="s">
        <v>52</v>
      </c>
      <c r="C37" s="76" t="s">
        <v>52</v>
      </c>
      <c r="D37" s="76" t="s">
        <v>52</v>
      </c>
      <c r="E37" s="76" t="s">
        <v>52</v>
      </c>
      <c r="F37" s="76" t="s">
        <v>52</v>
      </c>
      <c r="G37" s="76" t="s">
        <v>52</v>
      </c>
      <c r="H37" s="76" t="s">
        <v>52</v>
      </c>
      <c r="I37" s="76" t="s">
        <v>52</v>
      </c>
      <c r="J37" s="76" t="s">
        <v>52</v>
      </c>
      <c r="K37" s="76" t="s">
        <v>52</v>
      </c>
      <c r="L37" s="76" t="s">
        <v>52</v>
      </c>
      <c r="M37" s="76" t="s">
        <v>52</v>
      </c>
      <c r="N37" s="76" t="s">
        <v>52</v>
      </c>
      <c r="O37" s="76" t="s">
        <v>52</v>
      </c>
      <c r="P37" s="76" t="s">
        <v>52</v>
      </c>
      <c r="Q37" s="76" t="s">
        <v>52</v>
      </c>
      <c r="R37" s="76" t="s">
        <v>52</v>
      </c>
      <c r="S37" s="76" t="s">
        <v>52</v>
      </c>
      <c r="T37" s="76" t="s">
        <v>52</v>
      </c>
      <c r="U37" s="76" t="s">
        <v>52</v>
      </c>
      <c r="V37" s="76" t="s">
        <v>52</v>
      </c>
      <c r="W37" s="76" t="s">
        <v>52</v>
      </c>
      <c r="X37" s="76" t="s">
        <v>52</v>
      </c>
      <c r="Y37" s="76" t="s">
        <v>52</v>
      </c>
      <c r="Z37" s="76" t="s">
        <v>52</v>
      </c>
      <c r="AA37" s="76" t="s">
        <v>52</v>
      </c>
      <c r="AB37" s="76" t="s">
        <v>52</v>
      </c>
      <c r="AC37" s="76" t="s">
        <v>52</v>
      </c>
      <c r="AD37" s="76" t="s">
        <v>52</v>
      </c>
      <c r="AE37" s="76" t="s">
        <v>52</v>
      </c>
      <c r="AF37" s="20" t="e">
        <f t="shared" si="1"/>
        <v>#DIV/0!</v>
      </c>
      <c r="AG37" s="76">
        <f t="shared" si="0"/>
        <v>0</v>
      </c>
      <c r="AH37" s="76">
        <f>IFERROR(VLOOKUP(AJ37,Area_CLCL!$A$5:$E$51,5),"")</f>
        <v>1</v>
      </c>
      <c r="AI37" s="76">
        <f t="shared" ca="1" si="2"/>
        <v>783.99206621455505</v>
      </c>
      <c r="AJ37" s="76" t="s">
        <v>271</v>
      </c>
    </row>
    <row r="38" spans="1:36" x14ac:dyDescent="0.3">
      <c r="A38" s="76" t="s">
        <v>272</v>
      </c>
      <c r="B38" s="76" t="s">
        <v>23</v>
      </c>
      <c r="C38" s="76" t="s">
        <v>23</v>
      </c>
      <c r="D38" s="76" t="s">
        <v>23</v>
      </c>
      <c r="E38" s="76" t="s">
        <v>23</v>
      </c>
      <c r="F38" s="76" t="s">
        <v>23</v>
      </c>
      <c r="G38" s="76" t="s">
        <v>23</v>
      </c>
      <c r="H38" s="76" t="s">
        <v>23</v>
      </c>
      <c r="I38" s="76" t="s">
        <v>23</v>
      </c>
      <c r="J38" s="76" t="s">
        <v>23</v>
      </c>
      <c r="K38" s="76" t="s">
        <v>23</v>
      </c>
      <c r="L38" s="76" t="s">
        <v>23</v>
      </c>
      <c r="M38" s="76" t="s">
        <v>23</v>
      </c>
      <c r="N38" s="76" t="s">
        <v>23</v>
      </c>
      <c r="O38" s="76" t="s">
        <v>23</v>
      </c>
      <c r="P38" s="76" t="s">
        <v>23</v>
      </c>
      <c r="Q38" s="76" t="s">
        <v>23</v>
      </c>
      <c r="R38" s="76" t="s">
        <v>23</v>
      </c>
      <c r="S38" s="76" t="s">
        <v>23</v>
      </c>
      <c r="T38" s="76" t="s">
        <v>23</v>
      </c>
      <c r="U38" s="76" t="s">
        <v>23</v>
      </c>
      <c r="V38" s="76" t="s">
        <v>23</v>
      </c>
      <c r="W38" s="76" t="s">
        <v>23</v>
      </c>
      <c r="X38" s="76" t="s">
        <v>23</v>
      </c>
      <c r="Y38" s="76" t="s">
        <v>23</v>
      </c>
      <c r="Z38" s="76" t="s">
        <v>23</v>
      </c>
      <c r="AA38" s="76" t="s">
        <v>23</v>
      </c>
      <c r="AB38" s="76" t="s">
        <v>23</v>
      </c>
      <c r="AC38" s="76" t="s">
        <v>23</v>
      </c>
      <c r="AD38" s="76" t="s">
        <v>23</v>
      </c>
      <c r="AE38" s="76" t="s">
        <v>23</v>
      </c>
      <c r="AF38" s="20" t="e">
        <f t="shared" si="1"/>
        <v>#DIV/0!</v>
      </c>
      <c r="AG38" s="76">
        <f t="shared" si="0"/>
        <v>0</v>
      </c>
      <c r="AH38" s="76">
        <f>IFERROR(VLOOKUP(AJ38,Area_CLCL!$A$5:$E$51,5),"")</f>
        <v>1</v>
      </c>
      <c r="AI38" s="76">
        <f t="shared" ca="1" si="2"/>
        <v>65.65109082251314</v>
      </c>
      <c r="AJ38" s="76" t="s">
        <v>43</v>
      </c>
    </row>
    <row r="39" spans="1:36" x14ac:dyDescent="0.3">
      <c r="A39" s="76" t="s">
        <v>273</v>
      </c>
      <c r="B39" s="74">
        <v>3.238115379282E-2</v>
      </c>
      <c r="C39" s="74">
        <v>3.238115379282E-2</v>
      </c>
      <c r="D39" s="74">
        <v>2.23215560845E-2</v>
      </c>
      <c r="E39" s="74">
        <v>2.3122840549880001E-2</v>
      </c>
      <c r="F39" s="74">
        <v>2.432826371707E-2</v>
      </c>
      <c r="G39" s="74">
        <v>2.27040957874E-2</v>
      </c>
      <c r="H39" s="74">
        <v>2.3498015443459998E-2</v>
      </c>
      <c r="I39" s="74">
        <v>2.389573052993E-2</v>
      </c>
      <c r="J39" s="74">
        <v>2.3643162089079999E-2</v>
      </c>
      <c r="K39" s="74">
        <v>2.4406641339519999E-2</v>
      </c>
      <c r="L39" s="74">
        <v>2.515487372156E-2</v>
      </c>
      <c r="M39" s="74">
        <v>1.5810534016089998E-2</v>
      </c>
      <c r="N39" s="74">
        <v>1.5751767363890001E-2</v>
      </c>
      <c r="O39" s="74">
        <v>1.5883736312189999E-2</v>
      </c>
      <c r="P39" s="74">
        <v>1.5524608584909999E-2</v>
      </c>
      <c r="Q39" s="74">
        <v>1.511347138382E-2</v>
      </c>
      <c r="R39" s="74">
        <v>1.463232197177E-2</v>
      </c>
      <c r="S39" s="74">
        <v>1.414334634069E-2</v>
      </c>
      <c r="T39" s="74">
        <v>1.3580325203249999E-2</v>
      </c>
      <c r="U39" s="74">
        <v>1.289792373232E-2</v>
      </c>
      <c r="V39" s="74">
        <v>1.217775345234E-2</v>
      </c>
      <c r="W39" s="74">
        <v>1.2455375426619999E-2</v>
      </c>
      <c r="X39" s="74">
        <v>1.1446175267600001E-2</v>
      </c>
      <c r="Y39" s="74">
        <v>1.039492142413E-2</v>
      </c>
      <c r="Z39" s="74">
        <v>9.2851445663000003E-3</v>
      </c>
      <c r="AA39" s="74">
        <v>8.1289576004400007E-3</v>
      </c>
      <c r="AB39" s="74">
        <v>6.9214907302300004E-3</v>
      </c>
      <c r="AC39" s="74">
        <v>5.6597698926799996E-3</v>
      </c>
      <c r="AD39" s="74">
        <v>4.3413428260700004E-3</v>
      </c>
      <c r="AE39" s="74">
        <v>2.9616513204499999E-3</v>
      </c>
      <c r="AF39" s="20">
        <f t="shared" si="1"/>
        <v>0.46013645984293899</v>
      </c>
      <c r="AG39" s="76">
        <f t="shared" si="0"/>
        <v>7.3394454837956771E-3</v>
      </c>
      <c r="AH39" s="76">
        <f>IFERROR(VLOOKUP(AJ39,Area_CLCL!$A$5:$E$51,5),"")</f>
        <v>1</v>
      </c>
      <c r="AI39" s="76">
        <f t="shared" ca="1" si="2"/>
        <v>9.8829999999999991</v>
      </c>
      <c r="AJ39" s="76" t="s">
        <v>44</v>
      </c>
    </row>
    <row r="40" spans="1:36" x14ac:dyDescent="0.3">
      <c r="A40" s="76" t="s">
        <v>274</v>
      </c>
      <c r="B40" s="76" t="s">
        <v>23</v>
      </c>
      <c r="C40" s="76" t="s">
        <v>23</v>
      </c>
      <c r="D40" s="76" t="s">
        <v>23</v>
      </c>
      <c r="E40" s="76" t="s">
        <v>23</v>
      </c>
      <c r="F40" s="76" t="s">
        <v>23</v>
      </c>
      <c r="G40" s="76" t="s">
        <v>23</v>
      </c>
      <c r="H40" s="76" t="s">
        <v>23</v>
      </c>
      <c r="I40" s="76" t="s">
        <v>23</v>
      </c>
      <c r="J40" s="76" t="s">
        <v>23</v>
      </c>
      <c r="K40" s="76" t="s">
        <v>23</v>
      </c>
      <c r="L40" s="76" t="s">
        <v>23</v>
      </c>
      <c r="M40" s="76" t="s">
        <v>23</v>
      </c>
      <c r="N40" s="76" t="s">
        <v>23</v>
      </c>
      <c r="O40" s="76" t="s">
        <v>23</v>
      </c>
      <c r="P40" s="76" t="s">
        <v>23</v>
      </c>
      <c r="Q40" s="76" t="s">
        <v>23</v>
      </c>
      <c r="R40" s="76" t="s">
        <v>23</v>
      </c>
      <c r="S40" s="76" t="s">
        <v>23</v>
      </c>
      <c r="T40" s="76" t="s">
        <v>23</v>
      </c>
      <c r="U40" s="76" t="s">
        <v>23</v>
      </c>
      <c r="V40" s="76" t="s">
        <v>23</v>
      </c>
      <c r="W40" s="76" t="s">
        <v>23</v>
      </c>
      <c r="X40" s="76" t="s">
        <v>23</v>
      </c>
      <c r="Y40" s="76" t="s">
        <v>23</v>
      </c>
      <c r="Z40" s="76" t="s">
        <v>23</v>
      </c>
      <c r="AA40" s="76" t="s">
        <v>23</v>
      </c>
      <c r="AB40" s="76" t="s">
        <v>23</v>
      </c>
      <c r="AC40" s="76" t="s">
        <v>23</v>
      </c>
      <c r="AD40" s="76" t="s">
        <v>23</v>
      </c>
      <c r="AE40" s="76" t="s">
        <v>23</v>
      </c>
      <c r="AF40" s="20" t="e">
        <f t="shared" si="1"/>
        <v>#DIV/0!</v>
      </c>
      <c r="AG40" s="76">
        <f t="shared" si="0"/>
        <v>0</v>
      </c>
      <c r="AH40" s="76" t="str">
        <f>IFERROR(VLOOKUP(AJ40,Area_CLCL!$A$5:$E$51,5),"")</f>
        <v/>
      </c>
      <c r="AI40" s="76" t="str">
        <f t="shared" ca="1" si="2"/>
        <v/>
      </c>
      <c r="AJ40" s="76"/>
    </row>
    <row r="41" spans="1:36" x14ac:dyDescent="0.3">
      <c r="A41" s="76" t="s">
        <v>275</v>
      </c>
      <c r="B41" s="74">
        <v>-1.440369162E-5</v>
      </c>
      <c r="C41" s="74">
        <v>-1.440369162E-5</v>
      </c>
      <c r="D41" s="74">
        <v>-2.6377175380000001E-5</v>
      </c>
      <c r="E41" s="74">
        <v>-3.7273348779999999E-5</v>
      </c>
      <c r="F41" s="74">
        <v>-4.703937426E-5</v>
      </c>
      <c r="G41" s="74">
        <v>-5.5618632659999999E-5</v>
      </c>
      <c r="H41" s="74">
        <v>-6.2950270590000004E-5</v>
      </c>
      <c r="I41" s="74">
        <v>-6.8968911289999998E-5</v>
      </c>
      <c r="J41" s="74">
        <v>-7.3604106989999998E-5</v>
      </c>
      <c r="K41" s="74">
        <v>-7.6779918780000002E-5</v>
      </c>
      <c r="L41" s="74">
        <v>-7.8414373940000003E-5</v>
      </c>
      <c r="M41" s="74">
        <v>-7.8418788829999998E-5</v>
      </c>
      <c r="N41" s="74">
        <v>-7.6697186290000002E-5</v>
      </c>
      <c r="O41" s="74">
        <v>-7.3145432489999995E-5</v>
      </c>
      <c r="P41" s="74">
        <v>-6.7650286489999995E-5</v>
      </c>
      <c r="Q41" s="74">
        <v>8.6851193239999996E-5</v>
      </c>
      <c r="R41" s="74">
        <v>2.4856741995000001E-4</v>
      </c>
      <c r="S41" s="74">
        <v>4.1455870832000002E-4</v>
      </c>
      <c r="T41" s="74">
        <v>5.8512108231999996E-4</v>
      </c>
      <c r="U41" s="74">
        <v>7.6057749952000004E-4</v>
      </c>
      <c r="V41" s="74">
        <v>1.00709624602E-3</v>
      </c>
      <c r="W41" s="74">
        <v>1.2550625732E-3</v>
      </c>
      <c r="X41" s="74">
        <v>1.5047442458700001E-3</v>
      </c>
      <c r="Y41" s="74">
        <v>1.7582608922100001E-3</v>
      </c>
      <c r="Z41" s="74">
        <v>2.0291932846799999E-3</v>
      </c>
      <c r="AA41" s="74">
        <v>2.3000446792300002E-3</v>
      </c>
      <c r="AB41" s="74">
        <v>2.5563517923200001E-3</v>
      </c>
      <c r="AC41" s="74">
        <v>2.8057806337100002E-3</v>
      </c>
      <c r="AD41" s="74">
        <v>3.0380521083600001E-3</v>
      </c>
      <c r="AE41" s="74">
        <v>3.27335750325E-3</v>
      </c>
      <c r="AF41" s="20">
        <f t="shared" si="1"/>
        <v>1.4232989277044281</v>
      </c>
      <c r="AG41" s="76">
        <f t="shared" si="0"/>
        <v>1.1183339848822547E-3</v>
      </c>
      <c r="AH41" s="76">
        <f>IFERROR(VLOOKUP(AJ41,Area_CLCL!$A$5:$E$51,5),"")</f>
        <v>1</v>
      </c>
      <c r="AI41" s="76">
        <f t="shared" ca="1" si="2"/>
        <v>713.98304574999997</v>
      </c>
      <c r="AJ41" s="76" t="s">
        <v>45</v>
      </c>
    </row>
    <row r="42" spans="1:36" x14ac:dyDescent="0.3">
      <c r="A42" s="76" t="s">
        <v>276</v>
      </c>
      <c r="B42" s="74">
        <v>4.2245491610300003E-3</v>
      </c>
      <c r="C42" s="74">
        <v>4.2245491610300003E-3</v>
      </c>
      <c r="D42" s="74">
        <v>5.1517313730500003E-3</v>
      </c>
      <c r="E42" s="74">
        <v>5.9720074530999999E-3</v>
      </c>
      <c r="F42" s="74">
        <v>6.6085019944599997E-3</v>
      </c>
      <c r="G42" s="74">
        <v>7.1618658494300002E-3</v>
      </c>
      <c r="H42" s="74">
        <v>6.4633227504799998E-3</v>
      </c>
      <c r="I42" s="74">
        <v>5.7254261460099997E-3</v>
      </c>
      <c r="J42" s="74">
        <v>4.9749262488700003E-3</v>
      </c>
      <c r="K42" s="74">
        <v>4.2210144089900002E-3</v>
      </c>
      <c r="L42" s="74">
        <v>3.41274154167E-3</v>
      </c>
      <c r="M42" s="74">
        <v>2.67500236825E-3</v>
      </c>
      <c r="N42" s="74">
        <v>1.92269688973E-3</v>
      </c>
      <c r="O42" s="74">
        <v>1.0961217460899999E-3</v>
      </c>
      <c r="P42" s="74">
        <v>2.3034382142000001E-4</v>
      </c>
      <c r="Q42" s="74">
        <v>-6.5939725595999998E-4</v>
      </c>
      <c r="R42" s="74">
        <v>-1.4741470317699999E-3</v>
      </c>
      <c r="S42" s="74">
        <v>-2.1271001353000002E-3</v>
      </c>
      <c r="T42" s="74">
        <v>-2.6287147516400001E-3</v>
      </c>
      <c r="U42" s="74">
        <v>-2.7692732207099998E-3</v>
      </c>
      <c r="V42" s="74">
        <v>-2.9874391929800002E-3</v>
      </c>
      <c r="W42" s="74">
        <v>-2.7694985605500001E-3</v>
      </c>
      <c r="X42" s="74">
        <v>-2.5533945093300001E-3</v>
      </c>
      <c r="Y42" s="74">
        <v>-2.33718556757E-3</v>
      </c>
      <c r="Z42" s="74">
        <v>-2.1236984979599999E-3</v>
      </c>
      <c r="AA42" s="74">
        <v>-1.90472420356E-3</v>
      </c>
      <c r="AB42" s="74">
        <v>-1.6874011429399999E-3</v>
      </c>
      <c r="AC42" s="74">
        <v>-1.47425127688E-3</v>
      </c>
      <c r="AD42" s="74">
        <v>-1.28795218319E-3</v>
      </c>
      <c r="AE42" s="74">
        <v>-1.11081121015E-3</v>
      </c>
      <c r="AF42" s="20">
        <f t="shared" si="1"/>
        <v>3.4303372145231057</v>
      </c>
      <c r="AG42" s="76">
        <f t="shared" si="0"/>
        <v>3.5421500037605027E-3</v>
      </c>
      <c r="AH42" s="76" t="str">
        <f>IFERROR(VLOOKUP(AJ42,Area_CLCL!$A$5:$E$51,5),"")</f>
        <v/>
      </c>
      <c r="AI42" s="76" t="str">
        <f t="shared" ca="1" si="2"/>
        <v/>
      </c>
      <c r="AJ42" s="76"/>
    </row>
    <row r="43" spans="1:36" x14ac:dyDescent="0.3">
      <c r="A43" s="76" t="s">
        <v>277</v>
      </c>
      <c r="B43" s="74">
        <v>3.2414691039209999E-2</v>
      </c>
      <c r="C43" s="74">
        <v>3.2414691039209999E-2</v>
      </c>
      <c r="D43" s="74">
        <v>2.646910401363E-2</v>
      </c>
      <c r="E43" s="74">
        <v>2.1768746989010001E-2</v>
      </c>
      <c r="F43" s="74">
        <v>1.242800530042E-2</v>
      </c>
      <c r="G43" s="74">
        <v>7.7867639967600004E-3</v>
      </c>
      <c r="H43" s="74">
        <v>6.7568299666299998E-3</v>
      </c>
      <c r="I43" s="74">
        <v>5.0666734185300004E-3</v>
      </c>
      <c r="J43" s="74">
        <v>-4.24527106497E-3</v>
      </c>
      <c r="K43" s="74">
        <v>4.3950002068900004E-3</v>
      </c>
      <c r="L43" s="74">
        <v>-1.8474356202399999E-3</v>
      </c>
      <c r="M43" s="74">
        <v>-1.0419219166870001E-2</v>
      </c>
      <c r="N43" s="74">
        <v>-1.4915272754499999E-2</v>
      </c>
      <c r="O43" s="74">
        <v>-1.6452746215860001E-2</v>
      </c>
      <c r="P43" s="74">
        <v>-1.9550635834030002E-2</v>
      </c>
      <c r="Q43" s="74">
        <v>-2.1814800644519999E-2</v>
      </c>
      <c r="R43" s="74">
        <v>-2.4341127934180001E-2</v>
      </c>
      <c r="S43" s="74">
        <v>-2.749729588531E-2</v>
      </c>
      <c r="T43" s="74">
        <v>-3.1526465543099999E-2</v>
      </c>
      <c r="U43" s="74">
        <v>-3.5508633684229997E-2</v>
      </c>
      <c r="V43" s="74">
        <v>-4.185362390617E-2</v>
      </c>
      <c r="W43" s="74">
        <v>-8.2731992377649999E-2</v>
      </c>
      <c r="X43" s="74">
        <v>-7.8628486186129998E-2</v>
      </c>
      <c r="Y43" s="74">
        <v>-7.3750195001110005E-2</v>
      </c>
      <c r="Z43" s="74">
        <v>-6.4505180783189994E-2</v>
      </c>
      <c r="AA43" s="74">
        <v>-5.9881650917659998E-2</v>
      </c>
      <c r="AB43" s="74">
        <v>-5.8902324843109997E-2</v>
      </c>
      <c r="AC43" s="74">
        <v>-5.7992747478950002E-2</v>
      </c>
      <c r="AD43" s="74">
        <v>-5.1273148684879997E-2</v>
      </c>
      <c r="AE43" s="74">
        <v>-5.8843551698389999E-2</v>
      </c>
      <c r="AF43" s="20">
        <f t="shared" si="1"/>
        <v>1.3339075551436899</v>
      </c>
      <c r="AG43" s="76">
        <f t="shared" si="0"/>
        <v>3.3089922342314164E-2</v>
      </c>
      <c r="AH43" s="76" t="str">
        <f>IFERROR(VLOOKUP(AJ43,Area_CLCL!$A$5:$E$51,5),"")</f>
        <v/>
      </c>
      <c r="AI43" s="76" t="str">
        <f t="shared" ca="1" si="2"/>
        <v/>
      </c>
      <c r="AJ43" s="76"/>
    </row>
    <row r="44" spans="1:36" x14ac:dyDescent="0.3">
      <c r="A44" s="76" t="s">
        <v>278</v>
      </c>
      <c r="B44" s="74">
        <v>-5.2666027996860001E-2</v>
      </c>
      <c r="C44" s="74">
        <v>-5.6268582329150003E-2</v>
      </c>
      <c r="D44" s="74">
        <v>-5.9378886714270003E-2</v>
      </c>
      <c r="E44" s="74">
        <v>-6.2467985670249998E-2</v>
      </c>
      <c r="F44" s="74">
        <v>-6.5537141306799995E-2</v>
      </c>
      <c r="G44" s="74">
        <v>-6.8574258323229997E-2</v>
      </c>
      <c r="H44" s="74">
        <v>-7.1607238651289998E-2</v>
      </c>
      <c r="I44" s="74">
        <v>-7.4641127674600002E-2</v>
      </c>
      <c r="J44" s="74">
        <v>-7.170448492888E-2</v>
      </c>
      <c r="K44" s="74">
        <v>-6.8730734571889995E-2</v>
      </c>
      <c r="L44" s="74">
        <v>-6.5719319056580003E-2</v>
      </c>
      <c r="M44" s="74">
        <v>-6.3313941318699996E-2</v>
      </c>
      <c r="N44" s="74">
        <v>-5.841989251923E-2</v>
      </c>
      <c r="O44" s="74">
        <v>-5.3508021804089999E-2</v>
      </c>
      <c r="P44" s="74">
        <v>-4.8643657528919998E-2</v>
      </c>
      <c r="Q44" s="74">
        <v>-4.3775514985669998E-2</v>
      </c>
      <c r="R44" s="74">
        <v>-3.8917192247559997E-2</v>
      </c>
      <c r="S44" s="74">
        <v>-3.7144714266730001E-2</v>
      </c>
      <c r="T44" s="74">
        <v>-3.5407680511719997E-2</v>
      </c>
      <c r="U44" s="74">
        <v>-3.3661793739190003E-2</v>
      </c>
      <c r="V44" s="74">
        <v>-3.1922807654589998E-2</v>
      </c>
      <c r="W44" s="74">
        <v>-3.009991770062E-2</v>
      </c>
      <c r="X44" s="74">
        <v>-2.7007110574809999E-2</v>
      </c>
      <c r="Y44" s="74">
        <v>-2.391597523277E-2</v>
      </c>
      <c r="Z44" s="74">
        <v>-2.085724798221E-2</v>
      </c>
      <c r="AA44" s="74">
        <v>-1.780369102535E-2</v>
      </c>
      <c r="AB44" s="74">
        <v>-1.4757924644830001E-2</v>
      </c>
      <c r="AC44" s="74">
        <v>-1.1719971537969999E-2</v>
      </c>
      <c r="AD44" s="74">
        <v>-8.7002489547399996E-3</v>
      </c>
      <c r="AE44" s="74">
        <v>-5.6599893702099996E-3</v>
      </c>
      <c r="AF44" s="20">
        <f t="shared" si="1"/>
        <v>0.49507875539558593</v>
      </c>
      <c r="AG44" s="76">
        <f t="shared" si="0"/>
        <v>2.1678765518323373E-2</v>
      </c>
      <c r="AH44" s="76">
        <f>IFERROR(VLOOKUP(AJ44,Area_CLCL!$A$5:$E$51,5),"")</f>
        <v>1</v>
      </c>
      <c r="AI44" s="76">
        <f t="shared" ca="1" si="2"/>
        <v>3223.1103299999977</v>
      </c>
      <c r="AJ44" s="76" t="s">
        <v>46</v>
      </c>
    </row>
    <row r="45" spans="1:36" x14ac:dyDescent="0.3">
      <c r="A45" s="76" t="s">
        <v>279</v>
      </c>
      <c r="B45" s="76" t="s">
        <v>23</v>
      </c>
      <c r="C45" s="76" t="s">
        <v>23</v>
      </c>
      <c r="D45" s="76" t="s">
        <v>23</v>
      </c>
      <c r="E45" s="76" t="s">
        <v>23</v>
      </c>
      <c r="F45" s="76" t="s">
        <v>23</v>
      </c>
      <c r="G45" s="76" t="s">
        <v>23</v>
      </c>
      <c r="H45" s="76" t="s">
        <v>23</v>
      </c>
      <c r="I45" s="76" t="s">
        <v>23</v>
      </c>
      <c r="J45" s="76" t="s">
        <v>23</v>
      </c>
      <c r="K45" s="76" t="s">
        <v>23</v>
      </c>
      <c r="L45" s="76" t="s">
        <v>23</v>
      </c>
      <c r="M45" s="76" t="s">
        <v>23</v>
      </c>
      <c r="N45" s="76" t="s">
        <v>23</v>
      </c>
      <c r="O45" s="76" t="s">
        <v>23</v>
      </c>
      <c r="P45" s="76" t="s">
        <v>23</v>
      </c>
      <c r="Q45" s="76" t="s">
        <v>23</v>
      </c>
      <c r="R45" s="76" t="s">
        <v>23</v>
      </c>
      <c r="S45" s="76" t="s">
        <v>23</v>
      </c>
      <c r="T45" s="76" t="s">
        <v>23</v>
      </c>
      <c r="U45" s="74">
        <v>8.9812775474090001E-2</v>
      </c>
      <c r="V45" s="74">
        <v>0.11705053625497</v>
      </c>
      <c r="W45" s="74">
        <v>0.15047877983301</v>
      </c>
      <c r="X45" s="74">
        <v>0.18405184981885001</v>
      </c>
      <c r="Y45" s="74">
        <v>0.18699616779742001</v>
      </c>
      <c r="Z45" s="74">
        <v>0.20809960019734999</v>
      </c>
      <c r="AA45" s="74">
        <v>0.20107663713703999</v>
      </c>
      <c r="AB45" s="74">
        <v>0.22411118921461001</v>
      </c>
      <c r="AC45" s="74">
        <v>0.24527276781567001</v>
      </c>
      <c r="AD45" s="74">
        <v>0.26342552399456998</v>
      </c>
      <c r="AE45" s="74">
        <v>0.22556351693116999</v>
      </c>
      <c r="AF45" s="20">
        <f t="shared" si="1"/>
        <v>0.52121875002548268</v>
      </c>
      <c r="AG45" s="76">
        <f t="shared" si="0"/>
        <v>9.9312989568475576E-2</v>
      </c>
      <c r="AH45" s="76">
        <f>IFERROR(VLOOKUP(AJ45,Area_CLCL!$A$5:$E$51,5),"")</f>
        <v>1</v>
      </c>
      <c r="AI45" s="76">
        <f t="shared" ca="1" si="2"/>
        <v>453.493810177618</v>
      </c>
      <c r="AJ45" s="76" t="s">
        <v>48</v>
      </c>
    </row>
    <row r="46" spans="1:36" x14ac:dyDescent="0.3">
      <c r="A46" s="76" t="s">
        <v>280</v>
      </c>
      <c r="B46" s="76" t="s">
        <v>50</v>
      </c>
      <c r="C46" s="76" t="s">
        <v>50</v>
      </c>
      <c r="D46" s="76" t="s">
        <v>50</v>
      </c>
      <c r="E46" s="76" t="s">
        <v>50</v>
      </c>
      <c r="F46" s="76" t="s">
        <v>50</v>
      </c>
      <c r="G46" s="76" t="s">
        <v>50</v>
      </c>
      <c r="H46" s="76" t="s">
        <v>50</v>
      </c>
      <c r="I46" s="76" t="s">
        <v>50</v>
      </c>
      <c r="J46" s="76" t="s">
        <v>50</v>
      </c>
      <c r="K46" s="76" t="s">
        <v>50</v>
      </c>
      <c r="L46" s="76" t="s">
        <v>50</v>
      </c>
      <c r="M46" s="76" t="s">
        <v>50</v>
      </c>
      <c r="N46" s="76" t="s">
        <v>50</v>
      </c>
      <c r="O46" s="76" t="s">
        <v>23</v>
      </c>
      <c r="P46" s="76" t="s">
        <v>50</v>
      </c>
      <c r="Q46" s="76" t="s">
        <v>50</v>
      </c>
      <c r="R46" s="76" t="s">
        <v>50</v>
      </c>
      <c r="S46" s="76" t="s">
        <v>50</v>
      </c>
      <c r="T46" s="76" t="s">
        <v>50</v>
      </c>
      <c r="U46" s="76" t="s">
        <v>50</v>
      </c>
      <c r="V46" s="76" t="s">
        <v>50</v>
      </c>
      <c r="W46" s="76" t="s">
        <v>50</v>
      </c>
      <c r="X46" s="76" t="s">
        <v>50</v>
      </c>
      <c r="Y46" s="76" t="s">
        <v>50</v>
      </c>
      <c r="Z46" s="76" t="s">
        <v>50</v>
      </c>
      <c r="AA46" s="76" t="s">
        <v>50</v>
      </c>
      <c r="AB46" s="76" t="s">
        <v>50</v>
      </c>
      <c r="AC46" s="76" t="s">
        <v>50</v>
      </c>
      <c r="AD46" s="76" t="s">
        <v>50</v>
      </c>
      <c r="AE46" s="76" t="s">
        <v>50</v>
      </c>
      <c r="AF46" s="20" t="e">
        <f t="shared" si="1"/>
        <v>#DIV/0!</v>
      </c>
      <c r="AG46" s="76">
        <f t="shared" si="0"/>
        <v>0</v>
      </c>
      <c r="AH46" s="76">
        <f>IFERROR(VLOOKUP(AJ46,Area_CLCL!$A$5:$E$51,5),"")</f>
        <v>1</v>
      </c>
      <c r="AI46" s="76">
        <f t="shared" ca="1" si="2"/>
        <v>3497.5626010579163</v>
      </c>
      <c r="AJ46" s="76" t="s">
        <v>49</v>
      </c>
    </row>
    <row r="47" spans="1:36" x14ac:dyDescent="0.3">
      <c r="A47" s="76" t="s">
        <v>281</v>
      </c>
      <c r="B47" s="76" t="s">
        <v>47</v>
      </c>
      <c r="C47" s="76" t="s">
        <v>47</v>
      </c>
      <c r="D47" s="76" t="s">
        <v>47</v>
      </c>
      <c r="E47" s="76" t="s">
        <v>47</v>
      </c>
      <c r="F47" s="76" t="s">
        <v>47</v>
      </c>
      <c r="G47" s="76" t="s">
        <v>47</v>
      </c>
      <c r="H47" s="76" t="s">
        <v>47</v>
      </c>
      <c r="I47" s="76" t="s">
        <v>47</v>
      </c>
      <c r="J47" s="76" t="s">
        <v>47</v>
      </c>
      <c r="K47" s="76" t="s">
        <v>47</v>
      </c>
      <c r="L47" s="76" t="s">
        <v>47</v>
      </c>
      <c r="M47" s="76" t="s">
        <v>47</v>
      </c>
      <c r="N47" s="76" t="s">
        <v>47</v>
      </c>
      <c r="O47" s="76" t="s">
        <v>47</v>
      </c>
      <c r="P47" s="76" t="s">
        <v>47</v>
      </c>
      <c r="Q47" s="76" t="s">
        <v>47</v>
      </c>
      <c r="R47" s="76" t="s">
        <v>47</v>
      </c>
      <c r="S47" s="76" t="s">
        <v>47</v>
      </c>
      <c r="T47" s="76" t="s">
        <v>47</v>
      </c>
      <c r="U47" s="76" t="s">
        <v>47</v>
      </c>
      <c r="V47" s="76" t="s">
        <v>47</v>
      </c>
      <c r="W47" s="76" t="s">
        <v>47</v>
      </c>
      <c r="X47" s="76" t="s">
        <v>47</v>
      </c>
      <c r="Y47" s="76" t="s">
        <v>47</v>
      </c>
      <c r="Z47" s="76" t="s">
        <v>47</v>
      </c>
      <c r="AA47" s="76" t="s">
        <v>47</v>
      </c>
      <c r="AB47" s="76" t="s">
        <v>47</v>
      </c>
      <c r="AC47" s="76" t="s">
        <v>47</v>
      </c>
      <c r="AD47" s="76" t="s">
        <v>47</v>
      </c>
      <c r="AE47" s="76" t="s">
        <v>47</v>
      </c>
      <c r="AF47" s="20" t="e">
        <f t="shared" si="1"/>
        <v>#DIV/0!</v>
      </c>
      <c r="AG47" s="76">
        <f t="shared" si="0"/>
        <v>0</v>
      </c>
      <c r="AH47" s="76" t="str">
        <f>IFERROR(VLOOKUP(AJ47,Area_CLCL!$A$5:$E$51,5),"")</f>
        <v/>
      </c>
      <c r="AI47" s="76" t="str">
        <f t="shared" ca="1" si="2"/>
        <v/>
      </c>
      <c r="AJ47" s="76"/>
    </row>
    <row r="48" spans="1:36" x14ac:dyDescent="0.3">
      <c r="A48" s="76" t="s">
        <v>282</v>
      </c>
      <c r="B48" s="76" t="s">
        <v>52</v>
      </c>
      <c r="C48" s="76" t="s">
        <v>52</v>
      </c>
      <c r="D48" s="76" t="s">
        <v>52</v>
      </c>
      <c r="E48" s="76" t="s">
        <v>52</v>
      </c>
      <c r="F48" s="76" t="s">
        <v>52</v>
      </c>
      <c r="G48" s="76" t="s">
        <v>52</v>
      </c>
      <c r="H48" s="76" t="s">
        <v>52</v>
      </c>
      <c r="I48" s="76" t="s">
        <v>52</v>
      </c>
      <c r="J48" s="76" t="s">
        <v>52</v>
      </c>
      <c r="K48" s="76" t="s">
        <v>52</v>
      </c>
      <c r="L48" s="76" t="s">
        <v>52</v>
      </c>
      <c r="M48" s="76" t="s">
        <v>52</v>
      </c>
      <c r="N48" s="76" t="s">
        <v>52</v>
      </c>
      <c r="O48" s="76" t="s">
        <v>52</v>
      </c>
      <c r="P48" s="76" t="s">
        <v>52</v>
      </c>
      <c r="Q48" s="76" t="s">
        <v>52</v>
      </c>
      <c r="R48" s="76" t="s">
        <v>52</v>
      </c>
      <c r="S48" s="76" t="s">
        <v>52</v>
      </c>
      <c r="T48" s="76" t="s">
        <v>52</v>
      </c>
      <c r="U48" s="76" t="s">
        <v>52</v>
      </c>
      <c r="V48" s="76" t="s">
        <v>52</v>
      </c>
      <c r="W48" s="76" t="s">
        <v>52</v>
      </c>
      <c r="X48" s="76" t="s">
        <v>52</v>
      </c>
      <c r="Y48" s="76" t="s">
        <v>52</v>
      </c>
      <c r="Z48" s="76" t="s">
        <v>52</v>
      </c>
      <c r="AA48" s="76" t="s">
        <v>52</v>
      </c>
      <c r="AB48" s="76" t="s">
        <v>52</v>
      </c>
      <c r="AC48" s="76" t="s">
        <v>52</v>
      </c>
      <c r="AD48" s="76" t="s">
        <v>52</v>
      </c>
      <c r="AE48" s="76" t="s">
        <v>52</v>
      </c>
      <c r="AF48" s="20" t="e">
        <f t="shared" si="1"/>
        <v>#DIV/0!</v>
      </c>
      <c r="AG48" s="76">
        <f t="shared" si="0"/>
        <v>0</v>
      </c>
      <c r="AH48" s="76">
        <f>IFERROR(VLOOKUP(AJ48,Area_CLCL!$A$5:$E$51,5),"")</f>
        <v>1</v>
      </c>
      <c r="AI48" s="76">
        <f t="shared" ca="1" si="2"/>
        <v>791.67600000000004</v>
      </c>
      <c r="AJ48" s="76" t="s">
        <v>51</v>
      </c>
    </row>
    <row r="49" spans="1:36" x14ac:dyDescent="0.3">
      <c r="A49" s="76" t="s">
        <v>283</v>
      </c>
      <c r="B49" s="74">
        <v>-6.2410033904899999E-3</v>
      </c>
      <c r="C49" s="74">
        <v>-6.2669827461100001E-3</v>
      </c>
      <c r="D49" s="74">
        <v>-5.0280391959099998E-3</v>
      </c>
      <c r="E49" s="74">
        <v>-3.7111802829499999E-3</v>
      </c>
      <c r="F49" s="74">
        <v>-2.3088216587800001E-3</v>
      </c>
      <c r="G49" s="74">
        <v>-8.1235442996999997E-4</v>
      </c>
      <c r="H49" s="74">
        <v>7.8802336750999997E-4</v>
      </c>
      <c r="I49" s="74">
        <v>3.3567024383700001E-3</v>
      </c>
      <c r="J49" s="74">
        <v>6.11778187326E-3</v>
      </c>
      <c r="K49" s="74">
        <v>9.0942060564900007E-3</v>
      </c>
      <c r="L49" s="74">
        <v>1.231198057514E-2</v>
      </c>
      <c r="M49" s="74">
        <v>1.580170159719E-2</v>
      </c>
      <c r="N49" s="74">
        <v>1.959937731895E-2</v>
      </c>
      <c r="O49" s="74">
        <v>2.3747628452799999E-2</v>
      </c>
      <c r="P49" s="74">
        <v>2.5937401621149998E-2</v>
      </c>
      <c r="Q49" s="74">
        <v>2.8098296666060001E-2</v>
      </c>
      <c r="R49" s="74">
        <v>3.023088110048E-2</v>
      </c>
      <c r="S49" s="74">
        <v>3.2330659630229998E-2</v>
      </c>
      <c r="T49" s="74">
        <v>6.4846735437999996E-3</v>
      </c>
      <c r="U49" s="74">
        <v>6.27248722987E-3</v>
      </c>
      <c r="V49" s="74">
        <v>6.1078195431100001E-3</v>
      </c>
      <c r="W49" s="74">
        <v>5.9630399643400001E-3</v>
      </c>
      <c r="X49" s="74">
        <v>3.2679671459099999E-3</v>
      </c>
      <c r="Y49" s="74">
        <v>6.4940818741000004E-4</v>
      </c>
      <c r="Z49" s="74">
        <v>-6.9477413018999995E-4</v>
      </c>
      <c r="AA49" s="74">
        <v>-2.0031074324999999E-3</v>
      </c>
      <c r="AB49" s="74">
        <v>-3.2913277507399998E-3</v>
      </c>
      <c r="AC49" s="74">
        <v>-5.3433390736800004E-3</v>
      </c>
      <c r="AD49" s="74">
        <v>-7.3764362260800003E-3</v>
      </c>
      <c r="AE49" s="74">
        <v>-9.3695372760699992E-3</v>
      </c>
      <c r="AF49" s="20">
        <f t="shared" si="1"/>
        <v>1.8461334531567855</v>
      </c>
      <c r="AG49" s="76">
        <f t="shared" si="0"/>
        <v>1.209243742194787E-2</v>
      </c>
      <c r="AH49" s="76">
        <f>IFERROR(VLOOKUP(AJ49,Area_CLCL!$A$5:$E$51,5),"")</f>
        <v>1</v>
      </c>
      <c r="AI49" s="76">
        <f t="shared" ca="1" si="2"/>
        <v>342.39590178571433</v>
      </c>
      <c r="AJ49" s="76" t="s">
        <v>53</v>
      </c>
    </row>
    <row r="50" spans="1:36" x14ac:dyDescent="0.3">
      <c r="A50" s="76" t="s">
        <v>284</v>
      </c>
      <c r="B50" s="76" t="s">
        <v>50</v>
      </c>
      <c r="C50" s="76" t="s">
        <v>50</v>
      </c>
      <c r="D50" s="76" t="s">
        <v>50</v>
      </c>
      <c r="E50" s="76" t="s">
        <v>50</v>
      </c>
      <c r="F50" s="76" t="s">
        <v>50</v>
      </c>
      <c r="G50" s="76" t="s">
        <v>50</v>
      </c>
      <c r="H50" s="76" t="s">
        <v>50</v>
      </c>
      <c r="I50" s="76" t="s">
        <v>50</v>
      </c>
      <c r="J50" s="76" t="s">
        <v>50</v>
      </c>
      <c r="K50" s="76" t="s">
        <v>50</v>
      </c>
      <c r="L50" s="76" t="s">
        <v>50</v>
      </c>
      <c r="M50" s="76" t="s">
        <v>50</v>
      </c>
      <c r="N50" s="76" t="s">
        <v>50</v>
      </c>
      <c r="O50" s="76" t="s">
        <v>50</v>
      </c>
      <c r="P50" s="76" t="s">
        <v>50</v>
      </c>
      <c r="Q50" s="76" t="s">
        <v>50</v>
      </c>
      <c r="R50" s="76" t="s">
        <v>50</v>
      </c>
      <c r="S50" s="76" t="s">
        <v>50</v>
      </c>
      <c r="T50" s="76" t="s">
        <v>50</v>
      </c>
      <c r="U50" s="76" t="s">
        <v>50</v>
      </c>
      <c r="V50" s="76" t="s">
        <v>50</v>
      </c>
      <c r="W50" s="76" t="s">
        <v>50</v>
      </c>
      <c r="X50" s="76" t="s">
        <v>50</v>
      </c>
      <c r="Y50" s="76" t="s">
        <v>50</v>
      </c>
      <c r="Z50" s="76" t="s">
        <v>50</v>
      </c>
      <c r="AA50" s="76" t="s">
        <v>50</v>
      </c>
      <c r="AB50" s="76" t="s">
        <v>50</v>
      </c>
      <c r="AC50" s="76" t="s">
        <v>50</v>
      </c>
      <c r="AD50" s="76" t="s">
        <v>50</v>
      </c>
      <c r="AE50" s="76" t="s">
        <v>50</v>
      </c>
      <c r="AF50" s="20" t="e">
        <f t="shared" si="1"/>
        <v>#DIV/0!</v>
      </c>
      <c r="AG50" s="76">
        <f t="shared" si="0"/>
        <v>0</v>
      </c>
      <c r="AH50" s="76">
        <f>IFERROR(VLOOKUP(AJ50,Area_CLCL!$A$5:$E$51,5),"")</f>
        <v>1</v>
      </c>
      <c r="AI50" s="76">
        <f t="shared" ca="1" si="2"/>
        <v>11778.939458271116</v>
      </c>
      <c r="AJ50" s="76" t="s">
        <v>55</v>
      </c>
    </row>
    <row r="51" spans="1:36" x14ac:dyDescent="0.3">
      <c r="A51" s="76" t="s">
        <v>285</v>
      </c>
      <c r="B51" s="74">
        <v>-1.8292000582139999E-2</v>
      </c>
      <c r="C51" s="74">
        <v>-1.8292000582139999E-2</v>
      </c>
      <c r="D51" s="74">
        <v>-1.8292000943350002E-2</v>
      </c>
      <c r="E51" s="74">
        <v>-1.8291999986880001E-2</v>
      </c>
      <c r="F51" s="74">
        <v>-1.8291999477519999E-2</v>
      </c>
      <c r="G51" s="74">
        <v>-1.352599884159E-2</v>
      </c>
      <c r="H51" s="74">
        <v>-1.345000059399E-2</v>
      </c>
      <c r="I51" s="74">
        <v>-1.39079992293E-2</v>
      </c>
      <c r="J51" s="74">
        <v>-3.2174999563969998E-2</v>
      </c>
      <c r="K51" s="74">
        <v>-3.2580999617370002E-2</v>
      </c>
      <c r="L51" s="74">
        <v>-3.2396999584270003E-2</v>
      </c>
      <c r="M51" s="74">
        <v>-5.6789998804359997E-2</v>
      </c>
      <c r="N51" s="74">
        <v>-5.5548001086469997E-2</v>
      </c>
      <c r="O51" s="74">
        <v>-1.812600112516E-2</v>
      </c>
      <c r="P51" s="74">
        <v>-7.8002228024140002E-2</v>
      </c>
      <c r="Q51" s="74">
        <v>-2.594100021921E-2</v>
      </c>
      <c r="R51" s="74">
        <v>-0.14351196403623001</v>
      </c>
      <c r="S51" s="74">
        <v>-1.9744000279449999E-2</v>
      </c>
      <c r="T51" s="74">
        <v>-1.811199952008E-2</v>
      </c>
      <c r="U51" s="74">
        <v>4.8608399198380003E-2</v>
      </c>
      <c r="V51" s="74">
        <v>4.7736998724120003E-2</v>
      </c>
      <c r="W51" s="74">
        <v>1.497000103562E-2</v>
      </c>
      <c r="X51" s="74">
        <v>1.5093601084299999E-2</v>
      </c>
      <c r="Y51" s="74">
        <v>-5.3988998609570002E-2</v>
      </c>
      <c r="Z51" s="74">
        <v>-6.9029317973859999E-2</v>
      </c>
      <c r="AA51" s="74">
        <v>-4.9995999447440001E-2</v>
      </c>
      <c r="AB51" s="74">
        <v>-5.0000998784559998E-2</v>
      </c>
      <c r="AC51" s="74">
        <v>-5.0114999936809998E-2</v>
      </c>
      <c r="AD51" s="74">
        <v>-5.0114999045199997E-2</v>
      </c>
      <c r="AE51" s="74">
        <v>-5.0115001291450002E-2</v>
      </c>
      <c r="AF51" s="20">
        <f t="shared" si="1"/>
        <v>1.2340351474727516</v>
      </c>
      <c r="AG51" s="76">
        <f t="shared" si="0"/>
        <v>3.7188351571767586E-2</v>
      </c>
      <c r="AH51" s="76">
        <f>IFERROR(VLOOKUP(AJ51,Area_CLCL!$A$5:$E$51,5),"")</f>
        <v>1</v>
      </c>
      <c r="AI51" s="76">
        <f t="shared" ca="1" si="2"/>
        <v>333.16930200000002</v>
      </c>
      <c r="AJ51" s="76" t="s">
        <v>56</v>
      </c>
    </row>
    <row r="52" spans="1:36" x14ac:dyDescent="0.3">
      <c r="A52" s="76" t="s">
        <v>286</v>
      </c>
      <c r="B52" s="74">
        <v>2.5825468373910001E-2</v>
      </c>
      <c r="C52" s="74">
        <v>2.5825468373910001E-2</v>
      </c>
      <c r="D52" s="74">
        <v>0.15312077062623</v>
      </c>
      <c r="E52" s="74">
        <v>9.0064738954899998E-2</v>
      </c>
      <c r="F52" s="74">
        <v>-4.1897774259180003E-2</v>
      </c>
      <c r="G52" s="74">
        <v>-2.5013267311740001E-2</v>
      </c>
      <c r="H52" s="74">
        <v>-5.4475254298510002E-2</v>
      </c>
      <c r="I52" s="74">
        <v>0.11153468468652</v>
      </c>
      <c r="J52" s="74">
        <v>3.2561813815029997E-2</v>
      </c>
      <c r="K52" s="74">
        <v>-3.9917492298950003E-2</v>
      </c>
      <c r="L52" s="74">
        <v>5.097219630791E-2</v>
      </c>
      <c r="M52" s="74">
        <v>-7.1202450213650001E-2</v>
      </c>
      <c r="N52" s="74">
        <v>-7.4057034658160006E-2</v>
      </c>
      <c r="O52" s="74">
        <v>-1.8700856772209999E-2</v>
      </c>
      <c r="P52" s="74">
        <v>1.9831514864619999E-2</v>
      </c>
      <c r="Q52" s="74">
        <v>2.934174411061E-2</v>
      </c>
      <c r="R52" s="74">
        <v>-2.9997681685120001E-2</v>
      </c>
      <c r="S52" s="74">
        <v>2.7274089810889999E-2</v>
      </c>
      <c r="T52" s="74">
        <v>-7.0963351484369996E-2</v>
      </c>
      <c r="U52" s="74">
        <v>7.526321890703E-2</v>
      </c>
      <c r="V52" s="74">
        <v>1.8937696796E-3</v>
      </c>
      <c r="W52" s="74">
        <v>-9.6502270024700007E-3</v>
      </c>
      <c r="X52" s="74">
        <v>-3.4141025874229999E-2</v>
      </c>
      <c r="Y52" s="74">
        <v>-0.13049060827964001</v>
      </c>
      <c r="Z52" s="74">
        <v>-2.2355621556960002E-2</v>
      </c>
      <c r="AA52" s="74">
        <v>-8.2692152062259994E-2</v>
      </c>
      <c r="AB52" s="74">
        <v>-7.0704500236240003E-2</v>
      </c>
      <c r="AC52" s="74">
        <v>-9.7137471696099997E-3</v>
      </c>
      <c r="AD52" s="74">
        <v>-7.8798780393339998E-2</v>
      </c>
      <c r="AE52" s="74">
        <v>-1.36122109195E-3</v>
      </c>
      <c r="AF52" s="76"/>
      <c r="AG52" s="76">
        <f t="shared" si="0"/>
        <v>6.3967423854921587E-2</v>
      </c>
      <c r="AH52" s="76" t="str">
        <f>IFERROR(VLOOKUP(AJ52,Area_CLCL!$A$5:$E$51,5),"")</f>
        <v/>
      </c>
      <c r="AI52" s="76" t="str">
        <f t="shared" ca="1" si="2"/>
        <v/>
      </c>
      <c r="AJ52" s="76"/>
    </row>
    <row r="53" spans="1:36" x14ac:dyDescent="0.3">
      <c r="A53" s="76" t="s">
        <v>287</v>
      </c>
      <c r="B53" s="76" t="s">
        <v>23</v>
      </c>
      <c r="C53" s="76" t="s">
        <v>23</v>
      </c>
      <c r="D53" s="76" t="s">
        <v>52</v>
      </c>
      <c r="E53" s="76" t="s">
        <v>52</v>
      </c>
      <c r="F53" s="76" t="s">
        <v>52</v>
      </c>
      <c r="G53" s="76" t="s">
        <v>52</v>
      </c>
      <c r="H53" s="76" t="s">
        <v>52</v>
      </c>
      <c r="I53" s="76" t="s">
        <v>52</v>
      </c>
      <c r="J53" s="76" t="s">
        <v>52</v>
      </c>
      <c r="K53" s="76" t="s">
        <v>52</v>
      </c>
      <c r="L53" s="76" t="s">
        <v>52</v>
      </c>
      <c r="M53" s="76" t="s">
        <v>52</v>
      </c>
      <c r="N53" s="76" t="s">
        <v>52</v>
      </c>
      <c r="O53" s="76" t="s">
        <v>52</v>
      </c>
      <c r="P53" s="76" t="s">
        <v>52</v>
      </c>
      <c r="Q53" s="76" t="s">
        <v>52</v>
      </c>
      <c r="R53" s="76" t="s">
        <v>52</v>
      </c>
      <c r="S53" s="76" t="s">
        <v>52</v>
      </c>
      <c r="T53" s="76" t="s">
        <v>52</v>
      </c>
      <c r="U53" s="76" t="s">
        <v>23</v>
      </c>
      <c r="V53" s="76" t="s">
        <v>52</v>
      </c>
      <c r="W53" s="76" t="s">
        <v>52</v>
      </c>
      <c r="X53" s="76" t="s">
        <v>52</v>
      </c>
      <c r="Y53" s="76" t="s">
        <v>52</v>
      </c>
      <c r="Z53" s="76" t="s">
        <v>52</v>
      </c>
      <c r="AA53" s="76" t="s">
        <v>52</v>
      </c>
      <c r="AB53" s="76" t="s">
        <v>52</v>
      </c>
      <c r="AC53" s="76" t="s">
        <v>52</v>
      </c>
      <c r="AD53" s="76" t="s">
        <v>52</v>
      </c>
      <c r="AE53" s="76" t="s">
        <v>52</v>
      </c>
      <c r="AF53" s="76"/>
      <c r="AG53" s="76">
        <f t="shared" si="0"/>
        <v>0</v>
      </c>
      <c r="AH53" s="76" t="str">
        <f>IFERROR(VLOOKUP(AJ53,Area_CLCL!$A$5:$E$51,5),"")</f>
        <v/>
      </c>
      <c r="AI53" s="76" t="str">
        <f t="shared" ca="1" si="2"/>
        <v/>
      </c>
      <c r="AJ53" s="76"/>
    </row>
    <row r="54" spans="1:36" x14ac:dyDescent="0.3">
      <c r="A54" s="76" t="s">
        <v>288</v>
      </c>
      <c r="B54" s="74">
        <v>4.07515609354E-2</v>
      </c>
      <c r="C54" s="74">
        <v>4.07515609354E-2</v>
      </c>
      <c r="D54" s="74">
        <v>3.5850320121279998E-2</v>
      </c>
      <c r="E54" s="74">
        <v>3.7528549500749998E-2</v>
      </c>
      <c r="F54" s="74">
        <v>3.2681221476440002E-2</v>
      </c>
      <c r="G54" s="74">
        <v>3.067467339159E-2</v>
      </c>
      <c r="H54" s="74">
        <v>2.612010250845E-2</v>
      </c>
      <c r="I54" s="74">
        <v>2.1211527814609998E-2</v>
      </c>
      <c r="J54" s="74">
        <v>2.1466721226149999E-2</v>
      </c>
      <c r="K54" s="74">
        <v>2.0896430037990001E-2</v>
      </c>
      <c r="L54" s="74">
        <v>2.0093739974809999E-2</v>
      </c>
      <c r="M54" s="74">
        <v>1.8844931260109998E-2</v>
      </c>
      <c r="N54" s="74">
        <v>1.8599704421030001E-2</v>
      </c>
      <c r="O54" s="74">
        <v>1.6563122921600001E-2</v>
      </c>
      <c r="P54" s="74">
        <v>1.449285073722E-2</v>
      </c>
      <c r="Q54" s="74">
        <v>1.3456433158790001E-2</v>
      </c>
      <c r="R54" s="74">
        <v>1.390592316005E-2</v>
      </c>
      <c r="S54" s="74">
        <v>1.3016598625469999E-2</v>
      </c>
      <c r="T54" s="74">
        <v>1.4012084906929999E-2</v>
      </c>
      <c r="U54" s="74">
        <v>1.240456843302E-2</v>
      </c>
      <c r="V54" s="74">
        <v>1.2207267968159999E-2</v>
      </c>
      <c r="W54" s="74">
        <v>1.077139746882E-2</v>
      </c>
      <c r="X54" s="74">
        <v>9.40929406563E-3</v>
      </c>
      <c r="Y54" s="74">
        <v>8.7618162618099994E-3</v>
      </c>
      <c r="Z54" s="74">
        <v>7.8124891618299996E-3</v>
      </c>
      <c r="AA54" s="74">
        <v>7.9748658696599996E-3</v>
      </c>
      <c r="AB54" s="74">
        <v>8.4522215237299997E-3</v>
      </c>
      <c r="AC54" s="74">
        <v>8.5469801623000007E-3</v>
      </c>
      <c r="AD54" s="74">
        <v>6.3123237188500003E-3</v>
      </c>
      <c r="AE54" s="74">
        <v>5.6577775046200004E-3</v>
      </c>
      <c r="AF54" s="76"/>
      <c r="AG54" s="76">
        <f t="shared" si="0"/>
        <v>9.8780721694971246E-3</v>
      </c>
      <c r="AH54" s="76" t="str">
        <f>IFERROR(VLOOKUP(AJ54,Area_CLCL!$A$5:$E$51,5),"")</f>
        <v/>
      </c>
      <c r="AI54" s="76" t="str">
        <f t="shared" ca="1" si="2"/>
        <v/>
      </c>
      <c r="AJ54" s="76"/>
    </row>
    <row r="55" spans="1:36" x14ac:dyDescent="0.3">
      <c r="A55" s="76" t="s">
        <v>289</v>
      </c>
      <c r="B55" s="74">
        <v>4.0611361460930001E-2</v>
      </c>
      <c r="C55" s="74">
        <v>4.0611361460930001E-2</v>
      </c>
      <c r="D55" s="74">
        <v>4.2380117112949998E-2</v>
      </c>
      <c r="E55" s="74">
        <v>4.4145873640609998E-2</v>
      </c>
      <c r="F55" s="74">
        <v>4.5914298656930003E-2</v>
      </c>
      <c r="G55" s="74">
        <v>4.7693510775909997E-2</v>
      </c>
      <c r="H55" s="74">
        <v>4.946470214465E-2</v>
      </c>
      <c r="I55" s="74">
        <v>5.123510971419E-2</v>
      </c>
      <c r="J55" s="74">
        <v>5.300709173399E-2</v>
      </c>
      <c r="K55" s="74">
        <v>5.4782404823380003E-2</v>
      </c>
      <c r="L55" s="74">
        <v>5.656391463398E-2</v>
      </c>
      <c r="M55" s="74">
        <v>6.2748935443210002E-2</v>
      </c>
      <c r="N55" s="74">
        <v>6.8702584386800006E-2</v>
      </c>
      <c r="O55" s="74">
        <v>7.4432871237019999E-2</v>
      </c>
      <c r="P55" s="74">
        <v>7.9944828044399993E-2</v>
      </c>
      <c r="Q55" s="74">
        <v>8.5272224153630005E-2</v>
      </c>
      <c r="R55" s="74">
        <v>9.0389431205510004E-2</v>
      </c>
      <c r="S55" s="74">
        <v>9.5327033424619997E-2</v>
      </c>
      <c r="T55" s="74">
        <v>0.10006247172013</v>
      </c>
      <c r="U55" s="74">
        <v>0.10460533175694001</v>
      </c>
      <c r="V55" s="74">
        <v>0.10897115159361</v>
      </c>
      <c r="W55" s="74">
        <v>0.11081782126757</v>
      </c>
      <c r="X55" s="74">
        <v>0.11267016844949</v>
      </c>
      <c r="Y55" s="74">
        <v>0.11443275776726999</v>
      </c>
      <c r="Z55" s="74">
        <v>0.1161536517542</v>
      </c>
      <c r="AA55" s="74">
        <v>0.11781479289874</v>
      </c>
      <c r="AB55" s="74">
        <v>0.11937932098664999</v>
      </c>
      <c r="AC55" s="74">
        <v>0.12089098159226</v>
      </c>
      <c r="AD55" s="74">
        <v>0.12238348542983001</v>
      </c>
      <c r="AE55" s="74">
        <v>0.12387430833946</v>
      </c>
      <c r="AF55" s="76"/>
      <c r="AG55" s="76">
        <f t="shared" si="0"/>
        <v>3.0107145384294355E-2</v>
      </c>
      <c r="AH55" s="76" t="str">
        <f>IFERROR(VLOOKUP(AJ55,Area_CLCL!$A$5:$E$51,5),"")</f>
        <v/>
      </c>
      <c r="AI55" s="76" t="str">
        <f t="shared" ca="1" si="2"/>
        <v/>
      </c>
      <c r="AJ55" s="76"/>
    </row>
    <row r="56" spans="1:36" x14ac:dyDescent="0.3">
      <c r="A56" s="76" t="s">
        <v>290</v>
      </c>
      <c r="B56" s="74">
        <v>4.0611361460930001E-2</v>
      </c>
      <c r="C56" s="74">
        <v>4.0611361460930001E-2</v>
      </c>
      <c r="D56" s="74">
        <v>4.2380117112949998E-2</v>
      </c>
      <c r="E56" s="74">
        <v>4.4145873640609998E-2</v>
      </c>
      <c r="F56" s="74">
        <v>4.5914298656930003E-2</v>
      </c>
      <c r="G56" s="74">
        <v>4.7693510775909997E-2</v>
      </c>
      <c r="H56" s="74">
        <v>4.946470214465E-2</v>
      </c>
      <c r="I56" s="74">
        <v>5.123510971419E-2</v>
      </c>
      <c r="J56" s="74">
        <v>5.300709173399E-2</v>
      </c>
      <c r="K56" s="74">
        <v>5.4782404823380003E-2</v>
      </c>
      <c r="L56" s="74">
        <v>5.656391463398E-2</v>
      </c>
      <c r="M56" s="74">
        <v>6.2748935443210002E-2</v>
      </c>
      <c r="N56" s="74">
        <v>6.8702584386800006E-2</v>
      </c>
      <c r="O56" s="74">
        <v>7.4432871237019999E-2</v>
      </c>
      <c r="P56" s="74">
        <v>7.9944828044399993E-2</v>
      </c>
      <c r="Q56" s="74">
        <v>8.5272224153630005E-2</v>
      </c>
      <c r="R56" s="74">
        <v>9.0389431205510004E-2</v>
      </c>
      <c r="S56" s="74">
        <v>9.5327033424619997E-2</v>
      </c>
      <c r="T56" s="74">
        <v>0.10006247172013</v>
      </c>
      <c r="U56" s="74">
        <v>0.10460533175694001</v>
      </c>
      <c r="V56" s="74">
        <v>0.10897115159361</v>
      </c>
      <c r="W56" s="74">
        <v>0.11081782126757</v>
      </c>
      <c r="X56" s="74">
        <v>0.11267016844949</v>
      </c>
      <c r="Y56" s="74">
        <v>0.11443275776726999</v>
      </c>
      <c r="Z56" s="74">
        <v>0.1161536517542</v>
      </c>
      <c r="AA56" s="74">
        <v>0.11781479289874</v>
      </c>
      <c r="AB56" s="74">
        <v>0.11937932098664999</v>
      </c>
      <c r="AC56" s="74">
        <v>0.12089098159226</v>
      </c>
      <c r="AD56" s="74">
        <v>0.12238348542983001</v>
      </c>
      <c r="AE56" s="74">
        <v>0.12387430833946</v>
      </c>
      <c r="AF56" s="76"/>
      <c r="AG56" s="76">
        <f t="shared" si="0"/>
        <v>3.0107145384294355E-2</v>
      </c>
      <c r="AH56" s="76" t="str">
        <f>IFERROR(VLOOKUP(AJ56,Area_CLCL!$A$5:$E$51,5),"")</f>
        <v/>
      </c>
      <c r="AI56" s="76" t="str">
        <f t="shared" ca="1" si="2"/>
        <v/>
      </c>
      <c r="AJ56" s="76"/>
    </row>
    <row r="57" spans="1:36" x14ac:dyDescent="0.3">
      <c r="A57" s="76" t="s">
        <v>291</v>
      </c>
      <c r="B57" s="74">
        <v>2.1346850658100001E-3</v>
      </c>
      <c r="C57" s="74">
        <v>2.1346850658100001E-3</v>
      </c>
      <c r="D57" s="74">
        <v>2.07369330213E-3</v>
      </c>
      <c r="E57" s="74">
        <v>4.5586662873999998E-4</v>
      </c>
      <c r="F57" s="74">
        <v>-2.2477849424000001E-3</v>
      </c>
      <c r="G57" s="74">
        <v>1.07568132091E-2</v>
      </c>
      <c r="H57" s="74">
        <v>2.5407868963399998E-3</v>
      </c>
      <c r="I57" s="74">
        <v>3.5736971899200001E-3</v>
      </c>
      <c r="J57" s="74">
        <v>-5.2870765828999999E-4</v>
      </c>
      <c r="K57" s="74">
        <v>5.6153964861100003E-3</v>
      </c>
      <c r="L57" s="74">
        <v>1.31278438051E-3</v>
      </c>
      <c r="M57" s="74">
        <v>1.42278711727E-2</v>
      </c>
      <c r="N57" s="74">
        <v>2.6174613644800002E-3</v>
      </c>
      <c r="O57" s="74">
        <v>4.0787843022700001E-3</v>
      </c>
      <c r="P57" s="74">
        <v>5.8631037257700002E-3</v>
      </c>
      <c r="Q57" s="74">
        <v>4.8244491299999999E-5</v>
      </c>
      <c r="R57" s="74">
        <v>-8.4189162151000003E-4</v>
      </c>
      <c r="S57" s="74">
        <v>1.2407513703490001E-2</v>
      </c>
      <c r="T57" s="74">
        <v>-2.2610715783500002E-3</v>
      </c>
      <c r="U57" s="74">
        <v>5.1213867281800001E-3</v>
      </c>
      <c r="V57" s="74">
        <v>3.9733796634800001E-3</v>
      </c>
      <c r="W57" s="74">
        <v>-1.0937944608840001E-2</v>
      </c>
      <c r="X57" s="74">
        <v>-8.1403531613700002E-3</v>
      </c>
      <c r="Y57" s="74">
        <v>6.4841516913299998E-3</v>
      </c>
      <c r="Z57" s="74">
        <v>-6.5908080967499996E-3</v>
      </c>
      <c r="AA57" s="74">
        <v>-1.0253290221830001E-2</v>
      </c>
      <c r="AB57" s="74">
        <v>-4.1267040715499996E-3</v>
      </c>
      <c r="AC57" s="74">
        <v>-9.5023793300000006E-5</v>
      </c>
      <c r="AD57" s="74">
        <v>-1.4905794642300001E-3</v>
      </c>
      <c r="AE57" s="74">
        <v>-1.85931845404E-3</v>
      </c>
      <c r="AF57" s="76"/>
      <c r="AG57" s="76">
        <f t="shared" si="0"/>
        <v>5.9888270253528539E-3</v>
      </c>
      <c r="AH57" s="76" t="str">
        <f>IFERROR(VLOOKUP(AJ57,Area_CLCL!$A$5:$E$51,5),"")</f>
        <v/>
      </c>
      <c r="AI57" s="76" t="str">
        <f t="shared" ca="1" si="2"/>
        <v/>
      </c>
      <c r="AJ57" s="7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5" sqref="B5:B51"/>
    </sheetView>
  </sheetViews>
  <sheetFormatPr baseColWidth="10" defaultColWidth="11.44140625" defaultRowHeight="14.4" x14ac:dyDescent="0.3"/>
  <cols>
    <col min="5" max="5" width="11.5546875" style="25"/>
  </cols>
  <sheetData>
    <row r="1" spans="1:5" x14ac:dyDescent="0.3">
      <c r="A1" s="86" t="s">
        <v>292</v>
      </c>
      <c r="B1" s="73"/>
      <c r="C1" s="73"/>
      <c r="D1" s="73"/>
      <c r="E1" s="76"/>
    </row>
    <row r="2" spans="1:5" x14ac:dyDescent="0.3">
      <c r="A2" s="77" t="s">
        <v>323</v>
      </c>
      <c r="B2" s="76"/>
      <c r="C2" s="76"/>
      <c r="D2" s="76"/>
      <c r="E2" s="76"/>
    </row>
    <row r="4" spans="1:5" x14ac:dyDescent="0.3">
      <c r="A4" s="86" t="s">
        <v>124</v>
      </c>
      <c r="B4" s="181" t="s">
        <v>125</v>
      </c>
      <c r="C4" s="181"/>
      <c r="D4" s="181"/>
      <c r="E4" s="76"/>
    </row>
    <row r="5" spans="1:5" x14ac:dyDescent="0.3">
      <c r="A5" s="86" t="s">
        <v>295</v>
      </c>
      <c r="B5" s="86" t="s">
        <v>296</v>
      </c>
      <c r="C5" s="86" t="s">
        <v>297</v>
      </c>
      <c r="D5" s="86" t="s">
        <v>298</v>
      </c>
      <c r="E5" s="76" t="s">
        <v>72</v>
      </c>
    </row>
    <row r="6" spans="1:5" x14ac:dyDescent="0.3">
      <c r="A6" s="86" t="s">
        <v>299</v>
      </c>
      <c r="B6" s="86" t="s">
        <v>300</v>
      </c>
      <c r="C6" s="86" t="s">
        <v>300</v>
      </c>
      <c r="D6" s="86" t="s">
        <v>300</v>
      </c>
      <c r="E6" s="76"/>
    </row>
    <row r="7" spans="1:5" x14ac:dyDescent="0.3">
      <c r="A7" s="81" t="s">
        <v>301</v>
      </c>
      <c r="B7" s="80">
        <v>502888.55684353196</v>
      </c>
      <c r="C7" s="80">
        <v>502888.55684353196</v>
      </c>
      <c r="D7" s="80" t="s">
        <v>302</v>
      </c>
      <c r="E7" s="76">
        <v>0</v>
      </c>
    </row>
    <row r="8" spans="1:5" x14ac:dyDescent="0.3">
      <c r="A8" s="81" t="s">
        <v>17</v>
      </c>
      <c r="B8" s="80">
        <v>1254.0722722312591</v>
      </c>
      <c r="C8" s="80">
        <v>1267.0262722312591</v>
      </c>
      <c r="D8" s="80">
        <v>12.954000000000001</v>
      </c>
      <c r="E8" s="76">
        <v>1</v>
      </c>
    </row>
    <row r="9" spans="1:5" x14ac:dyDescent="0.3">
      <c r="A9" s="81" t="s">
        <v>303</v>
      </c>
      <c r="B9" s="80">
        <v>1923.3</v>
      </c>
      <c r="C9" s="80">
        <v>1923.3</v>
      </c>
      <c r="D9" s="80" t="s">
        <v>50</v>
      </c>
      <c r="E9" s="76">
        <v>0</v>
      </c>
    </row>
    <row r="10" spans="1:5" x14ac:dyDescent="0.3">
      <c r="A10" s="81" t="s">
        <v>26</v>
      </c>
      <c r="B10" s="80">
        <v>560.67422539486006</v>
      </c>
      <c r="C10" s="80">
        <v>561.49522539486009</v>
      </c>
      <c r="D10" s="80">
        <v>0.82099999999999995</v>
      </c>
      <c r="E10" s="76">
        <v>1</v>
      </c>
    </row>
    <row r="11" spans="1:5" x14ac:dyDescent="0.3">
      <c r="A11" s="81" t="s">
        <v>64</v>
      </c>
      <c r="B11" s="80">
        <v>2086.6117785076231</v>
      </c>
      <c r="C11" s="80">
        <v>2086.6117785076231</v>
      </c>
      <c r="D11" s="80" t="s">
        <v>23</v>
      </c>
      <c r="E11" s="76">
        <v>1</v>
      </c>
    </row>
    <row r="12" spans="1:5" x14ac:dyDescent="0.3">
      <c r="A12" s="81" t="s">
        <v>304</v>
      </c>
      <c r="B12" s="80">
        <v>6353.7569999999996</v>
      </c>
      <c r="C12" s="80">
        <v>6353.7569999999996</v>
      </c>
      <c r="D12" s="80" t="s">
        <v>54</v>
      </c>
      <c r="E12" s="76">
        <v>0</v>
      </c>
    </row>
    <row r="13" spans="1:5" x14ac:dyDescent="0.3">
      <c r="A13" s="81" t="s">
        <v>29</v>
      </c>
      <c r="B13" s="80">
        <v>1093.39334517409</v>
      </c>
      <c r="C13" s="80">
        <v>1093.6191052033</v>
      </c>
      <c r="D13" s="80">
        <v>0.22576002920999999</v>
      </c>
      <c r="E13" s="76">
        <v>1</v>
      </c>
    </row>
    <row r="14" spans="1:5" x14ac:dyDescent="0.3">
      <c r="A14" s="81" t="s">
        <v>60</v>
      </c>
      <c r="B14" s="80">
        <v>130.338714845407</v>
      </c>
      <c r="C14" s="80">
        <v>130.338714845407</v>
      </c>
      <c r="D14" s="80" t="s">
        <v>23</v>
      </c>
      <c r="E14" s="76">
        <v>1</v>
      </c>
    </row>
    <row r="15" spans="1:5" x14ac:dyDescent="0.3">
      <c r="A15" s="81" t="s">
        <v>62</v>
      </c>
      <c r="B15" s="80">
        <v>903.69953999999984</v>
      </c>
      <c r="C15" s="80">
        <v>903.69953999999984</v>
      </c>
      <c r="D15" s="80" t="s">
        <v>23</v>
      </c>
      <c r="E15" s="76">
        <v>1</v>
      </c>
    </row>
    <row r="16" spans="1:5" x14ac:dyDescent="0.3">
      <c r="A16" s="81" t="s">
        <v>61</v>
      </c>
      <c r="B16" s="80">
        <v>281.33707117699998</v>
      </c>
      <c r="C16" s="80">
        <v>339.78651453999998</v>
      </c>
      <c r="D16" s="80">
        <v>58.449443363</v>
      </c>
      <c r="E16" s="76">
        <v>1</v>
      </c>
    </row>
    <row r="17" spans="1:5" x14ac:dyDescent="0.3">
      <c r="A17" s="81" t="s">
        <v>63</v>
      </c>
      <c r="B17" s="80">
        <v>189.815</v>
      </c>
      <c r="C17" s="80">
        <v>235.75</v>
      </c>
      <c r="D17" s="80">
        <v>45.935000000000002</v>
      </c>
      <c r="E17" s="76">
        <v>1</v>
      </c>
    </row>
    <row r="18" spans="1:5" x14ac:dyDescent="0.3">
      <c r="A18" s="81" t="s">
        <v>130</v>
      </c>
      <c r="B18" s="80">
        <v>72228.20330765954</v>
      </c>
      <c r="C18" s="80">
        <v>74882.548332052858</v>
      </c>
      <c r="D18" s="80">
        <v>2654.3450243933112</v>
      </c>
      <c r="E18" s="76">
        <v>0</v>
      </c>
    </row>
    <row r="19" spans="1:5" x14ac:dyDescent="0.3">
      <c r="A19" s="81" t="s">
        <v>305</v>
      </c>
      <c r="B19" s="80">
        <v>75330.643983107293</v>
      </c>
      <c r="C19" s="80">
        <v>79462.539295544717</v>
      </c>
      <c r="D19" s="80">
        <v>4131.8953124374148</v>
      </c>
      <c r="E19" s="76">
        <v>0</v>
      </c>
    </row>
    <row r="20" spans="1:5" x14ac:dyDescent="0.3">
      <c r="A20" s="81" t="s">
        <v>31</v>
      </c>
      <c r="B20" s="80">
        <v>126.684</v>
      </c>
      <c r="C20" s="80">
        <v>179.99600000000001</v>
      </c>
      <c r="D20" s="80">
        <v>53.311999999999998</v>
      </c>
      <c r="E20" s="76">
        <v>1</v>
      </c>
    </row>
    <row r="21" spans="1:5" x14ac:dyDescent="0.3">
      <c r="A21" s="81" t="s">
        <v>34</v>
      </c>
      <c r="B21" s="80">
        <v>12409.887161000001</v>
      </c>
      <c r="C21" s="80">
        <v>12468.503560368001</v>
      </c>
      <c r="D21" s="80">
        <v>58.616399368000003</v>
      </c>
      <c r="E21" s="76">
        <v>1</v>
      </c>
    </row>
    <row r="22" spans="1:5" x14ac:dyDescent="0.3">
      <c r="A22" s="81" t="s">
        <v>35</v>
      </c>
      <c r="B22" s="80">
        <v>4185.7290000000003</v>
      </c>
      <c r="C22" s="80">
        <v>5036.2960000000003</v>
      </c>
      <c r="D22" s="80">
        <v>850.56699999999989</v>
      </c>
      <c r="E22" s="76">
        <v>1</v>
      </c>
    </row>
    <row r="23" spans="1:5" x14ac:dyDescent="0.3">
      <c r="A23" s="81" t="s">
        <v>36</v>
      </c>
      <c r="B23" s="80">
        <v>4732.2605230875197</v>
      </c>
      <c r="C23" s="80">
        <v>4732.2605230875197</v>
      </c>
      <c r="D23" s="80" t="s">
        <v>23</v>
      </c>
      <c r="E23" s="76">
        <v>1</v>
      </c>
    </row>
    <row r="24" spans="1:5" x14ac:dyDescent="0.3">
      <c r="A24" s="81" t="s">
        <v>38</v>
      </c>
      <c r="B24" s="80">
        <v>1127.0948785111796</v>
      </c>
      <c r="C24" s="80">
        <v>1127.0948785111796</v>
      </c>
      <c r="D24" s="80" t="s">
        <v>23</v>
      </c>
      <c r="E24" s="76">
        <v>1</v>
      </c>
    </row>
    <row r="25" spans="1:5" x14ac:dyDescent="0.3">
      <c r="A25" s="81" t="s">
        <v>306</v>
      </c>
      <c r="B25" s="80">
        <v>3054.2093338430464</v>
      </c>
      <c r="C25" s="80">
        <v>3318.0174218871498</v>
      </c>
      <c r="D25" s="80">
        <v>263.80808804410361</v>
      </c>
      <c r="E25" s="76">
        <v>0</v>
      </c>
    </row>
    <row r="26" spans="1:5" x14ac:dyDescent="0.3">
      <c r="A26" s="81" t="s">
        <v>39</v>
      </c>
      <c r="B26" s="80">
        <v>3815.0024094420801</v>
      </c>
      <c r="C26" s="80">
        <v>4147.5589489141748</v>
      </c>
      <c r="D26" s="80">
        <v>332.55653947209436</v>
      </c>
      <c r="E26" s="76">
        <v>1</v>
      </c>
    </row>
    <row r="27" spans="1:5" x14ac:dyDescent="0.3">
      <c r="A27" s="81" t="s">
        <v>40</v>
      </c>
      <c r="B27" s="80">
        <v>6748.7134176222762</v>
      </c>
      <c r="C27" s="80">
        <v>6750.786711622276</v>
      </c>
      <c r="D27" s="80">
        <v>2.0732940000000002</v>
      </c>
      <c r="E27" s="76">
        <v>1</v>
      </c>
    </row>
    <row r="28" spans="1:5" x14ac:dyDescent="0.3">
      <c r="A28" s="81" t="s">
        <v>307</v>
      </c>
      <c r="B28" s="80">
        <v>862.24371062871126</v>
      </c>
      <c r="C28" s="80">
        <v>917.48260793899487</v>
      </c>
      <c r="D28" s="80">
        <v>55.238897310283633</v>
      </c>
      <c r="E28" s="76">
        <v>0</v>
      </c>
    </row>
    <row r="29" spans="1:5" x14ac:dyDescent="0.3">
      <c r="A29" s="81" t="s">
        <v>308</v>
      </c>
      <c r="B29" s="80">
        <v>188781</v>
      </c>
      <c r="C29" s="80">
        <v>188781</v>
      </c>
      <c r="D29" s="80" t="s">
        <v>23</v>
      </c>
      <c r="E29" s="76">
        <v>0</v>
      </c>
    </row>
    <row r="30" spans="1:5" x14ac:dyDescent="0.3">
      <c r="A30" s="81" t="s">
        <v>41</v>
      </c>
      <c r="B30" s="80">
        <v>410.90356600000001</v>
      </c>
      <c r="C30" s="80">
        <v>445.02795300000002</v>
      </c>
      <c r="D30" s="80">
        <v>34.124386999999999</v>
      </c>
      <c r="E30" s="76">
        <v>1</v>
      </c>
    </row>
    <row r="31" spans="1:5" x14ac:dyDescent="0.3">
      <c r="A31" s="81" t="s">
        <v>309</v>
      </c>
      <c r="B31" s="80">
        <v>4.25287333333333</v>
      </c>
      <c r="C31" s="80">
        <v>4.3063666666666602</v>
      </c>
      <c r="D31" s="80">
        <v>5.349333333333E-2</v>
      </c>
      <c r="E31" s="76">
        <v>0</v>
      </c>
    </row>
    <row r="32" spans="1:5" x14ac:dyDescent="0.3">
      <c r="A32" s="81" t="s">
        <v>42</v>
      </c>
      <c r="B32" s="80">
        <v>783.99206621455505</v>
      </c>
      <c r="C32" s="80">
        <v>839.39193384856003</v>
      </c>
      <c r="D32" s="80">
        <v>55.399867634004963</v>
      </c>
      <c r="E32" s="76">
        <v>1</v>
      </c>
    </row>
    <row r="33" spans="1:5" x14ac:dyDescent="0.3">
      <c r="A33" s="81" t="s">
        <v>43</v>
      </c>
      <c r="B33" s="80">
        <v>65.65109082251314</v>
      </c>
      <c r="C33" s="80">
        <v>65.65109082251314</v>
      </c>
      <c r="D33" s="80" t="s">
        <v>23</v>
      </c>
      <c r="E33" s="76">
        <v>1</v>
      </c>
    </row>
    <row r="34" spans="1:5" x14ac:dyDescent="0.3">
      <c r="A34" s="81" t="s">
        <v>44</v>
      </c>
      <c r="B34" s="80">
        <v>9.8829999999999991</v>
      </c>
      <c r="C34" s="80">
        <v>9.8829999999999991</v>
      </c>
      <c r="D34" s="80" t="s">
        <v>23</v>
      </c>
      <c r="E34" s="76">
        <v>1</v>
      </c>
    </row>
    <row r="35" spans="1:5" x14ac:dyDescent="0.3">
      <c r="A35" s="81" t="s">
        <v>310</v>
      </c>
      <c r="B35" s="80" t="s">
        <v>23</v>
      </c>
      <c r="C35" s="80" t="s">
        <v>23</v>
      </c>
      <c r="D35" s="80" t="s">
        <v>23</v>
      </c>
      <c r="E35" s="76">
        <v>0</v>
      </c>
    </row>
    <row r="36" spans="1:5" x14ac:dyDescent="0.3">
      <c r="A36" s="81" t="s">
        <v>45</v>
      </c>
      <c r="B36" s="80">
        <v>713.98304574999997</v>
      </c>
      <c r="C36" s="80">
        <v>931.92062477700006</v>
      </c>
      <c r="D36" s="80">
        <v>217.937579027</v>
      </c>
      <c r="E36" s="76">
        <v>1</v>
      </c>
    </row>
    <row r="37" spans="1:5" x14ac:dyDescent="0.3">
      <c r="A37" s="81" t="s">
        <v>311</v>
      </c>
      <c r="B37" s="80">
        <v>14279.368158124855</v>
      </c>
      <c r="C37" s="80">
        <v>14443.201903809086</v>
      </c>
      <c r="D37" s="80">
        <v>163.83374568423221</v>
      </c>
      <c r="E37" s="76">
        <v>0</v>
      </c>
    </row>
    <row r="38" spans="1:5" x14ac:dyDescent="0.3">
      <c r="A38" s="81" t="s">
        <v>193</v>
      </c>
      <c r="B38" s="80">
        <v>202.31466</v>
      </c>
      <c r="C38" s="80">
        <v>204.20725999999999</v>
      </c>
      <c r="D38" s="80">
        <v>1.8926000000000001</v>
      </c>
      <c r="E38" s="76">
        <v>0</v>
      </c>
    </row>
    <row r="39" spans="1:5" x14ac:dyDescent="0.3">
      <c r="A39" s="81" t="s">
        <v>46</v>
      </c>
      <c r="B39" s="80">
        <v>3223.1103299999977</v>
      </c>
      <c r="C39" s="80">
        <v>3938.8351899999998</v>
      </c>
      <c r="D39" s="80">
        <v>715.7248600000022</v>
      </c>
      <c r="E39" s="76">
        <v>1</v>
      </c>
    </row>
    <row r="40" spans="1:5" x14ac:dyDescent="0.3">
      <c r="A40" s="81" t="s">
        <v>48</v>
      </c>
      <c r="B40" s="80">
        <v>453.493810177618</v>
      </c>
      <c r="C40" s="80">
        <v>453.493810177618</v>
      </c>
      <c r="D40" s="80" t="s">
        <v>23</v>
      </c>
      <c r="E40" s="76">
        <v>1</v>
      </c>
    </row>
    <row r="41" spans="1:5" x14ac:dyDescent="0.3">
      <c r="A41" s="81" t="s">
        <v>49</v>
      </c>
      <c r="B41" s="80">
        <v>3497.5626010579163</v>
      </c>
      <c r="C41" s="80">
        <v>3502.5986010579163</v>
      </c>
      <c r="D41" s="80">
        <v>5.0359999999999996</v>
      </c>
      <c r="E41" s="76">
        <v>1</v>
      </c>
    </row>
    <row r="42" spans="1:5" x14ac:dyDescent="0.3">
      <c r="A42" s="81" t="s">
        <v>312</v>
      </c>
      <c r="B42" s="80">
        <v>84533.138224010458</v>
      </c>
      <c r="C42" s="80">
        <v>86292.538224010452</v>
      </c>
      <c r="D42" s="80">
        <v>1759.4000000000005</v>
      </c>
      <c r="E42" s="76">
        <v>0</v>
      </c>
    </row>
    <row r="43" spans="1:5" x14ac:dyDescent="0.3">
      <c r="A43" s="81" t="s">
        <v>51</v>
      </c>
      <c r="B43" s="80">
        <v>791.67600000000004</v>
      </c>
      <c r="C43" s="80">
        <v>791.67600000000004</v>
      </c>
      <c r="D43" s="80" t="s">
        <v>23</v>
      </c>
      <c r="E43" s="76">
        <v>1</v>
      </c>
    </row>
    <row r="44" spans="1:5" x14ac:dyDescent="0.3">
      <c r="A44" s="81" t="s">
        <v>53</v>
      </c>
      <c r="B44" s="80">
        <v>342.39590178571433</v>
      </c>
      <c r="C44" s="80">
        <v>343.48971428571434</v>
      </c>
      <c r="D44" s="80">
        <v>1.0938125000000001</v>
      </c>
      <c r="E44" s="76">
        <v>1</v>
      </c>
    </row>
    <row r="45" spans="1:5" x14ac:dyDescent="0.3">
      <c r="A45" s="81" t="s">
        <v>55</v>
      </c>
      <c r="B45" s="80">
        <v>11778.939458271116</v>
      </c>
      <c r="C45" s="80">
        <v>11778.939458271116</v>
      </c>
      <c r="D45" s="80" t="s">
        <v>23</v>
      </c>
      <c r="E45" s="76">
        <v>1</v>
      </c>
    </row>
    <row r="46" spans="1:5" x14ac:dyDescent="0.3">
      <c r="A46" s="81" t="s">
        <v>56</v>
      </c>
      <c r="B46" s="80">
        <v>333.16930200000002</v>
      </c>
      <c r="C46" s="80">
        <v>357.32698900000003</v>
      </c>
      <c r="D46" s="80">
        <v>24.157686999999999</v>
      </c>
      <c r="E46" s="76">
        <v>1</v>
      </c>
    </row>
    <row r="47" spans="1:5" x14ac:dyDescent="0.3">
      <c r="A47" s="81" t="s">
        <v>313</v>
      </c>
      <c r="B47" s="80">
        <v>1276.8435661838153</v>
      </c>
      <c r="C47" s="80">
        <v>1282.6191443001433</v>
      </c>
      <c r="D47" s="80">
        <v>5.7755781163280897</v>
      </c>
      <c r="E47" s="76">
        <v>0</v>
      </c>
    </row>
    <row r="48" spans="1:5" x14ac:dyDescent="0.3">
      <c r="A48" s="81" t="s">
        <v>314</v>
      </c>
      <c r="B48" s="80">
        <v>24034.439336859399</v>
      </c>
      <c r="C48" s="80">
        <v>24037.449336859401</v>
      </c>
      <c r="D48" s="80">
        <v>3.01</v>
      </c>
      <c r="E48" s="76">
        <v>0</v>
      </c>
    </row>
    <row r="49" spans="1:5" x14ac:dyDescent="0.3">
      <c r="A49" s="81" t="s">
        <v>315</v>
      </c>
      <c r="B49" s="80">
        <v>7030.8193617942034</v>
      </c>
      <c r="C49" s="80">
        <v>7397.670424279534</v>
      </c>
      <c r="D49" s="80">
        <v>366.85106248533106</v>
      </c>
      <c r="E49" s="76">
        <v>0</v>
      </c>
    </row>
    <row r="50" spans="1:5" x14ac:dyDescent="0.3">
      <c r="A50" s="81" t="s">
        <v>142</v>
      </c>
      <c r="B50" s="80">
        <v>11463.621035191529</v>
      </c>
      <c r="C50" s="80">
        <v>12870.233235191528</v>
      </c>
      <c r="D50" s="80">
        <v>1406.6121999999998</v>
      </c>
      <c r="E50" s="76">
        <v>0</v>
      </c>
    </row>
    <row r="51" spans="1:5" x14ac:dyDescent="0.3">
      <c r="A51" s="81" t="s">
        <v>316</v>
      </c>
      <c r="B51" s="80">
        <v>265805.53492658201</v>
      </c>
      <c r="C51" s="80">
        <v>266234.09959375201</v>
      </c>
      <c r="D51" s="80">
        <v>428.56466717000001</v>
      </c>
      <c r="E51" s="76">
        <v>0</v>
      </c>
    </row>
    <row r="54" spans="1:5" x14ac:dyDescent="0.3">
      <c r="A54" s="77" t="s">
        <v>135</v>
      </c>
      <c r="B54" s="76"/>
      <c r="C54" s="76"/>
      <c r="D54" s="76"/>
      <c r="E54" s="76"/>
    </row>
    <row r="55" spans="1:5" x14ac:dyDescent="0.3">
      <c r="A55" s="77" t="s">
        <v>136</v>
      </c>
      <c r="B55" s="76"/>
      <c r="C55" s="76"/>
      <c r="D55" s="76"/>
      <c r="E55" s="76"/>
    </row>
    <row r="56" spans="1:5" x14ac:dyDescent="0.3">
      <c r="A56" s="77" t="s">
        <v>137</v>
      </c>
      <c r="B56" s="76"/>
      <c r="C56" s="76"/>
      <c r="D56" s="76"/>
      <c r="E56" s="76"/>
    </row>
    <row r="57" spans="1:5" x14ac:dyDescent="0.3">
      <c r="A57" s="77" t="s">
        <v>138</v>
      </c>
      <c r="B57" s="76"/>
      <c r="C57" s="76"/>
      <c r="D57" s="76"/>
      <c r="E57" s="76"/>
    </row>
    <row r="59" spans="1:5" x14ac:dyDescent="0.3">
      <c r="A59" s="77" t="s">
        <v>139</v>
      </c>
      <c r="B59" s="76"/>
      <c r="C59" s="76"/>
      <c r="D59" s="76"/>
      <c r="E59" s="76"/>
    </row>
    <row r="61" spans="1:5" x14ac:dyDescent="0.3">
      <c r="A61" s="77" t="s">
        <v>324</v>
      </c>
      <c r="B61" s="76"/>
      <c r="C61" s="76"/>
      <c r="D61" s="76"/>
      <c r="E61" s="76"/>
    </row>
  </sheetData>
  <mergeCells count="1">
    <mergeCell ref="B4:D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opLeftCell="A7" workbookViewId="0">
      <selection activeCell="AJ1" activeCellId="1" sqref="AH1:AH1048576 AJ1:AJ1048576"/>
    </sheetView>
  </sheetViews>
  <sheetFormatPr baseColWidth="10" defaultColWidth="8.6640625" defaultRowHeight="14.4" x14ac:dyDescent="0.3"/>
  <cols>
    <col min="1" max="1" width="18.6640625" customWidth="1"/>
    <col min="3" max="26" width="0" hidden="1" customWidth="1"/>
    <col min="31" max="31" width="9.33203125" style="3"/>
    <col min="32" max="33" width="8.6640625" style="28"/>
    <col min="34" max="36" width="8.6640625" style="72"/>
  </cols>
  <sheetData>
    <row r="1" spans="1:36" x14ac:dyDescent="0.3">
      <c r="A1" s="73" t="s">
        <v>202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row>
    <row r="3" spans="1:36" x14ac:dyDescent="0.3">
      <c r="A3" s="76" t="s">
        <v>325</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row>
    <row r="4" spans="1:36" x14ac:dyDescent="0.3">
      <c r="A4" s="76" t="s">
        <v>126</v>
      </c>
      <c r="B4" s="76" t="s">
        <v>204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row>
    <row r="5" spans="1:36" x14ac:dyDescent="0.3">
      <c r="A5" s="76" t="s">
        <v>3</v>
      </c>
      <c r="B5" s="76" t="s">
        <v>326</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row>
    <row r="6" spans="1:36" x14ac:dyDescent="0.3">
      <c r="A6" s="76" t="s">
        <v>206</v>
      </c>
      <c r="B6" s="76" t="s">
        <v>327</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t="s">
        <v>24</v>
      </c>
      <c r="AJ6" s="76"/>
    </row>
    <row r="8" spans="1:36" x14ac:dyDescent="0.3">
      <c r="A8" s="73" t="s">
        <v>208</v>
      </c>
      <c r="B8" s="73" t="s">
        <v>209</v>
      </c>
      <c r="C8" s="73" t="s">
        <v>210</v>
      </c>
      <c r="D8" s="73" t="s">
        <v>211</v>
      </c>
      <c r="E8" s="73" t="s">
        <v>212</v>
      </c>
      <c r="F8" s="73" t="s">
        <v>213</v>
      </c>
      <c r="G8" s="73" t="s">
        <v>214</v>
      </c>
      <c r="H8" s="73" t="s">
        <v>215</v>
      </c>
      <c r="I8" s="73" t="s">
        <v>216</v>
      </c>
      <c r="J8" s="73" t="s">
        <v>217</v>
      </c>
      <c r="K8" s="73" t="s">
        <v>218</v>
      </c>
      <c r="L8" s="73" t="s">
        <v>219</v>
      </c>
      <c r="M8" s="73" t="s">
        <v>220</v>
      </c>
      <c r="N8" s="73" t="s">
        <v>221</v>
      </c>
      <c r="O8" s="73" t="s">
        <v>222</v>
      </c>
      <c r="P8" s="73" t="s">
        <v>223</v>
      </c>
      <c r="Q8" s="73" t="s">
        <v>224</v>
      </c>
      <c r="R8" s="73" t="s">
        <v>225</v>
      </c>
      <c r="S8" s="73" t="s">
        <v>226</v>
      </c>
      <c r="T8" s="73" t="s">
        <v>227</v>
      </c>
      <c r="U8" s="73" t="s">
        <v>228</v>
      </c>
      <c r="V8" s="73" t="s">
        <v>229</v>
      </c>
      <c r="W8" s="73" t="s">
        <v>230</v>
      </c>
      <c r="X8" s="73" t="s">
        <v>231</v>
      </c>
      <c r="Y8" s="73" t="s">
        <v>232</v>
      </c>
      <c r="Z8" s="73" t="s">
        <v>233</v>
      </c>
      <c r="AA8" s="73" t="s">
        <v>234</v>
      </c>
      <c r="AB8" s="73" t="s">
        <v>235</v>
      </c>
      <c r="AC8" s="73" t="s">
        <v>164</v>
      </c>
      <c r="AD8" s="73" t="s">
        <v>236</v>
      </c>
      <c r="AE8" s="73" t="s">
        <v>237</v>
      </c>
      <c r="AF8" s="2" t="s">
        <v>238</v>
      </c>
      <c r="AG8" s="2" t="s">
        <v>239</v>
      </c>
      <c r="AH8" s="2" t="s">
        <v>72</v>
      </c>
      <c r="AI8" s="2" t="s">
        <v>16</v>
      </c>
      <c r="AJ8" s="2" t="s">
        <v>240</v>
      </c>
    </row>
    <row r="9" spans="1:36" x14ac:dyDescent="0.3">
      <c r="A9" s="76" t="s">
        <v>241</v>
      </c>
      <c r="B9" s="74">
        <v>1.6355176888700001E-3</v>
      </c>
      <c r="C9" s="74">
        <v>1.6355176888700001E-3</v>
      </c>
      <c r="D9" s="74">
        <v>4.4016905610100004E-3</v>
      </c>
      <c r="E9" s="74">
        <v>3.32860160671E-3</v>
      </c>
      <c r="F9" s="74">
        <v>4.4542448177500001E-3</v>
      </c>
      <c r="G9" s="74">
        <v>4.72367747194E-3</v>
      </c>
      <c r="H9" s="74">
        <v>6.8193564119399998E-3</v>
      </c>
      <c r="I9" s="74">
        <v>4.9001984367200001E-3</v>
      </c>
      <c r="J9" s="74">
        <v>7.70333182991E-3</v>
      </c>
      <c r="K9" s="74">
        <v>6.9798056675000001E-3</v>
      </c>
      <c r="L9" s="74">
        <v>3.9182455562699996E-3</v>
      </c>
      <c r="M9" s="74">
        <v>6.1569829739999997E-3</v>
      </c>
      <c r="N9" s="74">
        <v>6.4593540884600002E-3</v>
      </c>
      <c r="O9" s="74">
        <v>6.7921471654000002E-3</v>
      </c>
      <c r="P9" s="74">
        <v>8.4445486632499997E-3</v>
      </c>
      <c r="Q9" s="74">
        <v>6.8735510663399998E-3</v>
      </c>
      <c r="R9" s="74">
        <v>6.6201871893099996E-3</v>
      </c>
      <c r="S9" s="74">
        <v>6.4203204575999998E-3</v>
      </c>
      <c r="T9" s="74">
        <v>8.6957120144199995E-3</v>
      </c>
      <c r="U9" s="74">
        <v>5.4170555281499999E-3</v>
      </c>
      <c r="V9" s="74">
        <v>4.1602384525100001E-3</v>
      </c>
      <c r="W9" s="74">
        <v>1.12391774873E-3</v>
      </c>
      <c r="X9" s="74">
        <v>-3.4862981003599999E-3</v>
      </c>
      <c r="Y9" s="74">
        <v>2.2768583734E-4</v>
      </c>
      <c r="Z9" s="74">
        <v>5.8349905779100002E-3</v>
      </c>
      <c r="AA9" s="74">
        <v>3.3772011244200002E-3</v>
      </c>
      <c r="AB9" s="74">
        <v>4.79158915349E-3</v>
      </c>
      <c r="AC9" s="74">
        <v>8.6099985463500006E-3</v>
      </c>
      <c r="AD9" s="74">
        <v>6.7000895990499999E-3</v>
      </c>
      <c r="AE9" s="74">
        <v>7.2937611998100003E-3</v>
      </c>
      <c r="AF9" s="76"/>
      <c r="AG9" s="76">
        <f>IF(ISERR(SEARCH("IE",AE9)),STDEVA(C9:AE9),0.03)</f>
        <v>2.70918785671406E-3</v>
      </c>
      <c r="AH9" s="76"/>
      <c r="AI9" s="76" t="str">
        <f ca="1">IFERROR(VLOOKUP(AJ9,INDIRECT("Area_"&amp;$AI$6&amp;"!$A$5:$E$51",TRUE),2),"")</f>
        <v/>
      </c>
      <c r="AJ9" s="76"/>
    </row>
    <row r="10" spans="1:36" x14ac:dyDescent="0.3">
      <c r="A10" s="76" t="s">
        <v>242</v>
      </c>
      <c r="B10" s="74">
        <v>-0.19254271133854001</v>
      </c>
      <c r="C10" s="74">
        <v>-0.19254271133854001</v>
      </c>
      <c r="D10" s="74">
        <v>-0.19234590608310001</v>
      </c>
      <c r="E10" s="74">
        <v>-0.19214901538946999</v>
      </c>
      <c r="F10" s="74">
        <v>-0.19195203920201001</v>
      </c>
      <c r="G10" s="74">
        <v>-0.19116119649655999</v>
      </c>
      <c r="H10" s="74">
        <v>-0.19002139848326</v>
      </c>
      <c r="I10" s="74">
        <v>-0.18925377384301001</v>
      </c>
      <c r="J10" s="74">
        <v>-0.18852064186285999</v>
      </c>
      <c r="K10" s="74">
        <v>-0.18781464992449001</v>
      </c>
      <c r="L10" s="74">
        <v>-0.18737909869659999</v>
      </c>
      <c r="M10" s="74">
        <v>-0.18695387550397999</v>
      </c>
      <c r="N10" s="74">
        <v>-0.18653725596988999</v>
      </c>
      <c r="O10" s="74">
        <v>-0.18646751610998999</v>
      </c>
      <c r="P10" s="74">
        <v>-0.18635122561622999</v>
      </c>
      <c r="Q10" s="74">
        <v>-0.18629304767609001</v>
      </c>
      <c r="R10" s="74">
        <v>-0.18620951343698</v>
      </c>
      <c r="S10" s="74">
        <v>-0.18610473965487001</v>
      </c>
      <c r="T10" s="74">
        <v>-0.18598202478390999</v>
      </c>
      <c r="U10" s="74">
        <v>-0.18584404248354999</v>
      </c>
      <c r="V10" s="74">
        <v>-0.18536652795326</v>
      </c>
      <c r="W10" s="74">
        <v>-0.18496176758881999</v>
      </c>
      <c r="X10" s="74">
        <v>-0.18455907532398999</v>
      </c>
      <c r="Y10" s="74">
        <v>-0.18415843534890999</v>
      </c>
      <c r="Z10" s="74">
        <v>-0.18375983201445001</v>
      </c>
      <c r="AA10" s="74">
        <v>-0.18336324983019001</v>
      </c>
      <c r="AB10" s="74">
        <v>-0.18330179940050001</v>
      </c>
      <c r="AC10" s="74">
        <v>-0.18324053950354999</v>
      </c>
      <c r="AD10" s="74">
        <v>-0.18317946925459</v>
      </c>
      <c r="AE10" s="74">
        <v>-0.18311858777430001</v>
      </c>
      <c r="AF10" s="20">
        <f>STDEVA(C10:AE10)/ABS(AVERAGE(C10:AE10))</f>
        <v>1.6044381444046164E-2</v>
      </c>
      <c r="AG10" s="76">
        <f t="shared" ref="AG10:AG57" si="0">IF(ISERR(SEARCH("IE",AE10)),STDEVA(C10:AE10),0.03)</f>
        <v>2.9980270896313916E-3</v>
      </c>
      <c r="AH10" s="76">
        <f>IFERROR(VLOOKUP(AJ10,Area_CLCL!$A$5:$E$51,5),"")</f>
        <v>1</v>
      </c>
      <c r="AI10" s="76">
        <f ca="1">IFERROR(VLOOKUP(AJ10,INDIRECT("Area_"&amp;$AI$6&amp;"!$A$5:$E$51",TRUE),2),"")</f>
        <v>3894.9761587391549</v>
      </c>
      <c r="AJ10" s="76" t="s">
        <v>17</v>
      </c>
    </row>
    <row r="11" spans="1:36" x14ac:dyDescent="0.3">
      <c r="A11" s="76" t="s">
        <v>243</v>
      </c>
      <c r="B11" s="74">
        <v>-4.8700143717010001E-2</v>
      </c>
      <c r="C11" s="74">
        <v>-4.8700143717010001E-2</v>
      </c>
      <c r="D11" s="74">
        <v>-1.260208483614E-2</v>
      </c>
      <c r="E11" s="74">
        <v>2.8433040421789998E-2</v>
      </c>
      <c r="F11" s="74">
        <v>6.8982096185829997E-2</v>
      </c>
      <c r="G11" s="74">
        <v>0.10877707078631001</v>
      </c>
      <c r="H11" s="74">
        <v>0.14663876078145999</v>
      </c>
      <c r="I11" s="74">
        <v>0.18375076624299999</v>
      </c>
      <c r="J11" s="74">
        <v>0.21239632796888999</v>
      </c>
      <c r="K11" s="74">
        <v>0.24937661829890001</v>
      </c>
      <c r="L11" s="74">
        <v>0.25821513383796002</v>
      </c>
      <c r="M11" s="74">
        <v>0.30564491931170001</v>
      </c>
      <c r="N11" s="74">
        <v>0.32419514643908998</v>
      </c>
      <c r="O11" s="74">
        <v>0.35055605554127001</v>
      </c>
      <c r="P11" s="74">
        <v>0.35034287292685001</v>
      </c>
      <c r="Q11" s="74">
        <v>0.39195421104367001</v>
      </c>
      <c r="R11" s="74">
        <v>0.32305533958501997</v>
      </c>
      <c r="S11" s="74">
        <v>0.34983612939202002</v>
      </c>
      <c r="T11" s="74">
        <v>0.40992061950455</v>
      </c>
      <c r="U11" s="74">
        <v>0.40917242913046997</v>
      </c>
      <c r="V11" s="74">
        <v>0.43340782964618002</v>
      </c>
      <c r="W11" s="74">
        <v>0.46912109862672002</v>
      </c>
      <c r="X11" s="74">
        <v>0.45215776397516</v>
      </c>
      <c r="Y11" s="74">
        <v>0.44804714554268998</v>
      </c>
      <c r="Z11" s="74">
        <v>0.40908966688824999</v>
      </c>
      <c r="AA11" s="74">
        <v>0.44499198080289998</v>
      </c>
      <c r="AB11" s="74">
        <v>0.36699253986055003</v>
      </c>
      <c r="AC11" s="74">
        <v>0.33833179297596999</v>
      </c>
      <c r="AD11" s="74">
        <v>0.30258240221765997</v>
      </c>
      <c r="AE11" s="74">
        <v>0.27572033485837</v>
      </c>
      <c r="AF11" s="20">
        <f t="shared" ref="AF11:AF51" si="1">STDEVA(C11:AE11)/ABS(AVERAGE(C11:AE11))</f>
        <v>0.50834705302426719</v>
      </c>
      <c r="AG11" s="76">
        <f t="shared" si="0"/>
        <v>0.14637569180676033</v>
      </c>
      <c r="AH11" s="76" t="str">
        <f>IFERROR(VLOOKUP(AJ11,Area_CLCL!$A$5:$E$51,5),"")</f>
        <v/>
      </c>
      <c r="AI11" s="76" t="str">
        <f t="shared" ref="AI11:AI57" ca="1" si="2">IFERROR(VLOOKUP(AJ11,INDIRECT("Area_"&amp;$AI$6&amp;"!$A$5:$E$51",TRUE),2),"")</f>
        <v/>
      </c>
      <c r="AJ11" s="76"/>
    </row>
    <row r="12" spans="1:36" x14ac:dyDescent="0.3">
      <c r="A12" s="76" t="s">
        <v>321</v>
      </c>
      <c r="B12" s="76" t="s">
        <v>23</v>
      </c>
      <c r="C12" s="76" t="s">
        <v>23</v>
      </c>
      <c r="D12" s="76" t="s">
        <v>23</v>
      </c>
      <c r="E12" s="76" t="s">
        <v>23</v>
      </c>
      <c r="F12" s="76" t="s">
        <v>23</v>
      </c>
      <c r="G12" s="76" t="s">
        <v>23</v>
      </c>
      <c r="H12" s="76" t="s">
        <v>23</v>
      </c>
      <c r="I12" s="76" t="s">
        <v>23</v>
      </c>
      <c r="J12" s="76" t="s">
        <v>23</v>
      </c>
      <c r="K12" s="76" t="s">
        <v>23</v>
      </c>
      <c r="L12" s="76" t="s">
        <v>23</v>
      </c>
      <c r="M12" s="76" t="s">
        <v>23</v>
      </c>
      <c r="N12" s="76" t="s">
        <v>23</v>
      </c>
      <c r="O12" s="76" t="s">
        <v>23</v>
      </c>
      <c r="P12" s="76" t="s">
        <v>23</v>
      </c>
      <c r="Q12" s="76" t="s">
        <v>23</v>
      </c>
      <c r="R12" s="76" t="s">
        <v>23</v>
      </c>
      <c r="S12" s="76" t="s">
        <v>23</v>
      </c>
      <c r="T12" s="76" t="s">
        <v>23</v>
      </c>
      <c r="U12" s="76" t="s">
        <v>23</v>
      </c>
      <c r="V12" s="76" t="s">
        <v>23</v>
      </c>
      <c r="W12" s="76" t="s">
        <v>23</v>
      </c>
      <c r="X12" s="76" t="s">
        <v>23</v>
      </c>
      <c r="Y12" s="76" t="s">
        <v>23</v>
      </c>
      <c r="Z12" s="76" t="s">
        <v>23</v>
      </c>
      <c r="AA12" s="76" t="s">
        <v>23</v>
      </c>
      <c r="AB12" s="76" t="s">
        <v>23</v>
      </c>
      <c r="AC12" s="76" t="s">
        <v>23</v>
      </c>
      <c r="AD12" s="76" t="s">
        <v>23</v>
      </c>
      <c r="AE12" s="76" t="s">
        <v>23</v>
      </c>
      <c r="AF12" s="20" t="e">
        <f t="shared" si="1"/>
        <v>#DIV/0!</v>
      </c>
      <c r="AG12" s="76">
        <f t="shared" si="0"/>
        <v>0</v>
      </c>
      <c r="AH12" s="76">
        <f>IFERROR(VLOOKUP(AJ12,Area_CLCL!$A$5:$E$51,5),"")</f>
        <v>1</v>
      </c>
      <c r="AI12" s="76">
        <f t="shared" ca="1" si="2"/>
        <v>691.28982364458125</v>
      </c>
      <c r="AJ12" s="76" t="s">
        <v>26</v>
      </c>
    </row>
    <row r="13" spans="1:36" x14ac:dyDescent="0.3">
      <c r="A13" s="76" t="s">
        <v>245</v>
      </c>
      <c r="B13" s="76" t="s">
        <v>54</v>
      </c>
      <c r="C13" s="76" t="s">
        <v>54</v>
      </c>
      <c r="D13" s="76" t="s">
        <v>54</v>
      </c>
      <c r="E13" s="76" t="s">
        <v>54</v>
      </c>
      <c r="F13" s="76" t="s">
        <v>54</v>
      </c>
      <c r="G13" s="76" t="s">
        <v>54</v>
      </c>
      <c r="H13" s="76" t="s">
        <v>54</v>
      </c>
      <c r="I13" s="76" t="s">
        <v>54</v>
      </c>
      <c r="J13" s="76" t="s">
        <v>54</v>
      </c>
      <c r="K13" s="76" t="s">
        <v>54</v>
      </c>
      <c r="L13" s="76" t="s">
        <v>54</v>
      </c>
      <c r="M13" s="76" t="s">
        <v>54</v>
      </c>
      <c r="N13" s="76" t="s">
        <v>54</v>
      </c>
      <c r="O13" s="76" t="s">
        <v>54</v>
      </c>
      <c r="P13" s="76" t="s">
        <v>54</v>
      </c>
      <c r="Q13" s="76" t="s">
        <v>54</v>
      </c>
      <c r="R13" s="76" t="s">
        <v>54</v>
      </c>
      <c r="S13" s="76" t="s">
        <v>54</v>
      </c>
      <c r="T13" s="76" t="s">
        <v>54</v>
      </c>
      <c r="U13" s="76" t="s">
        <v>54</v>
      </c>
      <c r="V13" s="76" t="s">
        <v>54</v>
      </c>
      <c r="W13" s="76" t="s">
        <v>54</v>
      </c>
      <c r="X13" s="76" t="s">
        <v>54</v>
      </c>
      <c r="Y13" s="76" t="s">
        <v>54</v>
      </c>
      <c r="Z13" s="76" t="s">
        <v>54</v>
      </c>
      <c r="AA13" s="76" t="s">
        <v>54</v>
      </c>
      <c r="AB13" s="76" t="s">
        <v>54</v>
      </c>
      <c r="AC13" s="76" t="s">
        <v>54</v>
      </c>
      <c r="AD13" s="76" t="s">
        <v>54</v>
      </c>
      <c r="AE13" s="76" t="s">
        <v>54</v>
      </c>
      <c r="AF13" s="20" t="e">
        <f t="shared" si="1"/>
        <v>#DIV/0!</v>
      </c>
      <c r="AG13" s="76">
        <f t="shared" si="0"/>
        <v>0</v>
      </c>
      <c r="AH13" s="76">
        <f>IFERROR(VLOOKUP(AJ13,Area_CLCL!$A$5:$E$51,5),"")</f>
        <v>1</v>
      </c>
      <c r="AI13" s="76">
        <f t="shared" ca="1" si="2"/>
        <v>3684.7715193111121</v>
      </c>
      <c r="AJ13" s="76" t="s">
        <v>64</v>
      </c>
    </row>
    <row r="14" spans="1:36" x14ac:dyDescent="0.3">
      <c r="A14" s="76" t="s">
        <v>246</v>
      </c>
      <c r="B14" s="74">
        <v>3.3057675849329997E-2</v>
      </c>
      <c r="C14" s="74">
        <v>3.3057675849329997E-2</v>
      </c>
      <c r="D14" s="74">
        <v>3.347403553996E-2</v>
      </c>
      <c r="E14" s="74">
        <v>3.3941348128629999E-2</v>
      </c>
      <c r="F14" s="74">
        <v>3.4122937274699998E-2</v>
      </c>
      <c r="G14" s="74">
        <v>3.4360799501649997E-2</v>
      </c>
      <c r="H14" s="74">
        <v>3.4319519179819999E-2</v>
      </c>
      <c r="I14" s="74">
        <v>3.4264679441679997E-2</v>
      </c>
      <c r="J14" s="74">
        <v>3.4414366741929998E-2</v>
      </c>
      <c r="K14" s="74">
        <v>3.4116388320140002E-2</v>
      </c>
      <c r="L14" s="74">
        <v>3.4171263711249997E-2</v>
      </c>
      <c r="M14" s="74">
        <v>3.3895770772709999E-2</v>
      </c>
      <c r="N14" s="74">
        <v>3.3593419896649997E-2</v>
      </c>
      <c r="O14" s="74">
        <v>3.3315316851340003E-2</v>
      </c>
      <c r="P14" s="74">
        <v>3.2911112175580001E-2</v>
      </c>
      <c r="Q14" s="74">
        <v>3.3193028540080001E-2</v>
      </c>
      <c r="R14" s="74">
        <v>3.2596068406730003E-2</v>
      </c>
      <c r="S14" s="74">
        <v>3.2143260686989999E-2</v>
      </c>
      <c r="T14" s="74">
        <v>3.1358522776949997E-2</v>
      </c>
      <c r="U14" s="74">
        <v>3.1249591217370001E-2</v>
      </c>
      <c r="V14" s="74">
        <v>3.1630258154169998E-2</v>
      </c>
      <c r="W14" s="74">
        <v>3.2463272653829998E-2</v>
      </c>
      <c r="X14" s="74">
        <v>3.2464519983249999E-2</v>
      </c>
      <c r="Y14" s="74">
        <v>3.2397187160619997E-2</v>
      </c>
      <c r="Z14" s="74">
        <v>3.2425714254979997E-2</v>
      </c>
      <c r="AA14" s="74">
        <v>3.2271598525830003E-2</v>
      </c>
      <c r="AB14" s="74">
        <v>3.2078379503149998E-2</v>
      </c>
      <c r="AC14" s="74">
        <v>3.20441856246E-2</v>
      </c>
      <c r="AD14" s="74">
        <v>3.1783271565100003E-2</v>
      </c>
      <c r="AE14" s="74">
        <v>3.1432383154390002E-2</v>
      </c>
      <c r="AF14" s="20">
        <f t="shared" si="1"/>
        <v>3.1120385276656851E-2</v>
      </c>
      <c r="AG14" s="76">
        <f t="shared" si="0"/>
        <v>1.0253521743590287E-3</v>
      </c>
      <c r="AH14" s="76" t="str">
        <f>IFERROR(VLOOKUP(AJ14,Area_CLCL!$A$5:$E$51,5),"")</f>
        <v/>
      </c>
      <c r="AI14" s="76" t="str">
        <f t="shared" ca="1" si="2"/>
        <v/>
      </c>
      <c r="AJ14" s="76"/>
    </row>
    <row r="15" spans="1:36" x14ac:dyDescent="0.3">
      <c r="A15" s="76" t="s">
        <v>247</v>
      </c>
      <c r="B15" s="76" t="s">
        <v>23</v>
      </c>
      <c r="C15" s="76" t="s">
        <v>23</v>
      </c>
      <c r="D15" s="76" t="s">
        <v>23</v>
      </c>
      <c r="E15" s="76" t="s">
        <v>23</v>
      </c>
      <c r="F15" s="76" t="s">
        <v>23</v>
      </c>
      <c r="G15" s="76" t="s">
        <v>23</v>
      </c>
      <c r="H15" s="76" t="s">
        <v>23</v>
      </c>
      <c r="I15" s="76" t="s">
        <v>23</v>
      </c>
      <c r="J15" s="76" t="s">
        <v>23</v>
      </c>
      <c r="K15" s="76" t="s">
        <v>23</v>
      </c>
      <c r="L15" s="76" t="s">
        <v>23</v>
      </c>
      <c r="M15" s="76" t="s">
        <v>23</v>
      </c>
      <c r="N15" s="76" t="s">
        <v>23</v>
      </c>
      <c r="O15" s="76" t="s">
        <v>23</v>
      </c>
      <c r="P15" s="76" t="s">
        <v>23</v>
      </c>
      <c r="Q15" s="76" t="s">
        <v>23</v>
      </c>
      <c r="R15" s="76" t="s">
        <v>23</v>
      </c>
      <c r="S15" s="76" t="s">
        <v>23</v>
      </c>
      <c r="T15" s="76" t="s">
        <v>23</v>
      </c>
      <c r="U15" s="76" t="s">
        <v>23</v>
      </c>
      <c r="V15" s="76" t="s">
        <v>23</v>
      </c>
      <c r="W15" s="76" t="s">
        <v>23</v>
      </c>
      <c r="X15" s="76" t="s">
        <v>23</v>
      </c>
      <c r="Y15" s="76" t="s">
        <v>23</v>
      </c>
      <c r="Z15" s="76" t="s">
        <v>23</v>
      </c>
      <c r="AA15" s="76" t="s">
        <v>23</v>
      </c>
      <c r="AB15" s="76" t="s">
        <v>23</v>
      </c>
      <c r="AC15" s="76" t="s">
        <v>23</v>
      </c>
      <c r="AD15" s="76" t="s">
        <v>23</v>
      </c>
      <c r="AE15" s="76" t="s">
        <v>23</v>
      </c>
      <c r="AF15" s="20" t="e">
        <f t="shared" si="1"/>
        <v>#DIV/0!</v>
      </c>
      <c r="AG15" s="76">
        <f t="shared" si="0"/>
        <v>0</v>
      </c>
      <c r="AH15" s="76">
        <f>IFERROR(VLOOKUP(AJ15,Area_CLCL!$A$5:$E$51,5),"")</f>
        <v>1</v>
      </c>
      <c r="AI15" s="76">
        <f t="shared" ca="1" si="2"/>
        <v>2312.9182183347302</v>
      </c>
      <c r="AJ15" s="76" t="s">
        <v>29</v>
      </c>
    </row>
    <row r="16" spans="1:36" x14ac:dyDescent="0.3">
      <c r="A16" s="76" t="s">
        <v>248</v>
      </c>
      <c r="B16" s="76" t="s">
        <v>23</v>
      </c>
      <c r="C16" s="76" t="s">
        <v>23</v>
      </c>
      <c r="D16" s="76" t="s">
        <v>23</v>
      </c>
      <c r="E16" s="76" t="s">
        <v>23</v>
      </c>
      <c r="F16" s="76" t="s">
        <v>23</v>
      </c>
      <c r="G16" s="76" t="s">
        <v>23</v>
      </c>
      <c r="H16" s="76" t="s">
        <v>23</v>
      </c>
      <c r="I16" s="76" t="s">
        <v>23</v>
      </c>
      <c r="J16" s="76" t="s">
        <v>23</v>
      </c>
      <c r="K16" s="76" t="s">
        <v>23</v>
      </c>
      <c r="L16" s="76" t="s">
        <v>23</v>
      </c>
      <c r="M16" s="76" t="s">
        <v>23</v>
      </c>
      <c r="N16" s="76" t="s">
        <v>23</v>
      </c>
      <c r="O16" s="76" t="s">
        <v>23</v>
      </c>
      <c r="P16" s="76" t="s">
        <v>23</v>
      </c>
      <c r="Q16" s="76" t="s">
        <v>23</v>
      </c>
      <c r="R16" s="76" t="s">
        <v>23</v>
      </c>
      <c r="S16" s="76" t="s">
        <v>23</v>
      </c>
      <c r="T16" s="76" t="s">
        <v>23</v>
      </c>
      <c r="U16" s="76" t="s">
        <v>23</v>
      </c>
      <c r="V16" s="76" t="s">
        <v>23</v>
      </c>
      <c r="W16" s="76" t="s">
        <v>23</v>
      </c>
      <c r="X16" s="76" t="s">
        <v>23</v>
      </c>
      <c r="Y16" s="76" t="s">
        <v>23</v>
      </c>
      <c r="Z16" s="76" t="s">
        <v>23</v>
      </c>
      <c r="AA16" s="76" t="s">
        <v>23</v>
      </c>
      <c r="AB16" s="76" t="s">
        <v>23</v>
      </c>
      <c r="AC16" s="76" t="s">
        <v>23</v>
      </c>
      <c r="AD16" s="76" t="s">
        <v>23</v>
      </c>
      <c r="AE16" s="76" t="s">
        <v>23</v>
      </c>
      <c r="AF16" s="20" t="e">
        <f t="shared" si="1"/>
        <v>#DIV/0!</v>
      </c>
      <c r="AG16" s="76">
        <f t="shared" si="0"/>
        <v>0</v>
      </c>
      <c r="AH16" s="76">
        <f>IFERROR(VLOOKUP(AJ16,Area_CLCL!$A$5:$E$51,5),"")</f>
        <v>1</v>
      </c>
      <c r="AI16" s="76">
        <f t="shared" ca="1" si="2"/>
        <v>158.90728488061598</v>
      </c>
      <c r="AJ16" s="76" t="s">
        <v>60</v>
      </c>
    </row>
    <row r="17" spans="1:36" x14ac:dyDescent="0.3">
      <c r="A17" s="76" t="s">
        <v>249</v>
      </c>
      <c r="B17" s="76" t="s">
        <v>23</v>
      </c>
      <c r="C17" s="76" t="s">
        <v>23</v>
      </c>
      <c r="D17" s="76" t="s">
        <v>23</v>
      </c>
      <c r="E17" s="76" t="s">
        <v>23</v>
      </c>
      <c r="F17" s="76" t="s">
        <v>23</v>
      </c>
      <c r="G17" s="76" t="s">
        <v>23</v>
      </c>
      <c r="H17" s="76" t="s">
        <v>23</v>
      </c>
      <c r="I17" s="76" t="s">
        <v>23</v>
      </c>
      <c r="J17" s="76" t="s">
        <v>23</v>
      </c>
      <c r="K17" s="76" t="s">
        <v>23</v>
      </c>
      <c r="L17" s="76" t="s">
        <v>23</v>
      </c>
      <c r="M17" s="76" t="s">
        <v>23</v>
      </c>
      <c r="N17" s="76" t="s">
        <v>23</v>
      </c>
      <c r="O17" s="76" t="s">
        <v>23</v>
      </c>
      <c r="P17" s="76" t="s">
        <v>23</v>
      </c>
      <c r="Q17" s="76" t="s">
        <v>23</v>
      </c>
      <c r="R17" s="76" t="s">
        <v>23</v>
      </c>
      <c r="S17" s="76" t="s">
        <v>23</v>
      </c>
      <c r="T17" s="76" t="s">
        <v>23</v>
      </c>
      <c r="U17" s="76" t="s">
        <v>23</v>
      </c>
      <c r="V17" s="76" t="s">
        <v>23</v>
      </c>
      <c r="W17" s="76" t="s">
        <v>23</v>
      </c>
      <c r="X17" s="76" t="s">
        <v>23</v>
      </c>
      <c r="Y17" s="76" t="s">
        <v>23</v>
      </c>
      <c r="Z17" s="76" t="s">
        <v>23</v>
      </c>
      <c r="AA17" s="76" t="s">
        <v>23</v>
      </c>
      <c r="AB17" s="76" t="s">
        <v>23</v>
      </c>
      <c r="AC17" s="76" t="s">
        <v>23</v>
      </c>
      <c r="AD17" s="76" t="s">
        <v>23</v>
      </c>
      <c r="AE17" s="76" t="s">
        <v>23</v>
      </c>
      <c r="AF17" s="20" t="e">
        <f t="shared" si="1"/>
        <v>#DIV/0!</v>
      </c>
      <c r="AG17" s="76">
        <f t="shared" si="0"/>
        <v>0</v>
      </c>
      <c r="AH17" s="76">
        <f>IFERROR(VLOOKUP(AJ17,Area_CLCL!$A$5:$E$51,5),"")</f>
        <v>1</v>
      </c>
      <c r="AI17" s="76">
        <f t="shared" ca="1" si="2"/>
        <v>2602.6188999999999</v>
      </c>
      <c r="AJ17" s="76" t="s">
        <v>62</v>
      </c>
    </row>
    <row r="18" spans="1:36" x14ac:dyDescent="0.3">
      <c r="A18" s="76" t="s">
        <v>250</v>
      </c>
      <c r="B18" s="76" t="s">
        <v>47</v>
      </c>
      <c r="C18" s="76" t="s">
        <v>47</v>
      </c>
      <c r="D18" s="76" t="s">
        <v>47</v>
      </c>
      <c r="E18" s="76" t="s">
        <v>47</v>
      </c>
      <c r="F18" s="76" t="s">
        <v>47</v>
      </c>
      <c r="G18" s="76" t="s">
        <v>47</v>
      </c>
      <c r="H18" s="76" t="s">
        <v>47</v>
      </c>
      <c r="I18" s="76" t="s">
        <v>47</v>
      </c>
      <c r="J18" s="76" t="s">
        <v>47</v>
      </c>
      <c r="K18" s="76" t="s">
        <v>47</v>
      </c>
      <c r="L18" s="76" t="s">
        <v>47</v>
      </c>
      <c r="M18" s="76" t="s">
        <v>47</v>
      </c>
      <c r="N18" s="76" t="s">
        <v>47</v>
      </c>
      <c r="O18" s="76" t="s">
        <v>47</v>
      </c>
      <c r="P18" s="76" t="s">
        <v>47</v>
      </c>
      <c r="Q18" s="76" t="s">
        <v>47</v>
      </c>
      <c r="R18" s="76" t="s">
        <v>47</v>
      </c>
      <c r="S18" s="76" t="s">
        <v>47</v>
      </c>
      <c r="T18" s="76" t="s">
        <v>47</v>
      </c>
      <c r="U18" s="76" t="s">
        <v>47</v>
      </c>
      <c r="V18" s="76" t="s">
        <v>47</v>
      </c>
      <c r="W18" s="76" t="s">
        <v>47</v>
      </c>
      <c r="X18" s="76" t="s">
        <v>47</v>
      </c>
      <c r="Y18" s="76" t="s">
        <v>47</v>
      </c>
      <c r="Z18" s="76" t="s">
        <v>47</v>
      </c>
      <c r="AA18" s="76" t="s">
        <v>47</v>
      </c>
      <c r="AB18" s="76" t="s">
        <v>47</v>
      </c>
      <c r="AC18" s="76" t="s">
        <v>47</v>
      </c>
      <c r="AD18" s="76" t="s">
        <v>47</v>
      </c>
      <c r="AE18" s="76" t="s">
        <v>47</v>
      </c>
      <c r="AF18" s="20" t="e">
        <f t="shared" si="1"/>
        <v>#DIV/0!</v>
      </c>
      <c r="AG18" s="76">
        <f t="shared" si="0"/>
        <v>0</v>
      </c>
      <c r="AH18" s="76">
        <f>IFERROR(VLOOKUP(AJ18,Area_CLCL!$A$5:$E$51,5),"")</f>
        <v>1</v>
      </c>
      <c r="AI18" s="76">
        <f t="shared" ca="1" si="2"/>
        <v>536.92234862999999</v>
      </c>
      <c r="AJ18" s="76" t="s">
        <v>61</v>
      </c>
    </row>
    <row r="19" spans="1:36" x14ac:dyDescent="0.3">
      <c r="A19" s="76" t="s">
        <v>251</v>
      </c>
      <c r="B19" s="76" t="s">
        <v>47</v>
      </c>
      <c r="C19" s="76" t="s">
        <v>47</v>
      </c>
      <c r="D19" s="76" t="s">
        <v>47</v>
      </c>
      <c r="E19" s="76" t="s">
        <v>47</v>
      </c>
      <c r="F19" s="76" t="s">
        <v>47</v>
      </c>
      <c r="G19" s="76" t="s">
        <v>47</v>
      </c>
      <c r="H19" s="76" t="s">
        <v>47</v>
      </c>
      <c r="I19" s="76" t="s">
        <v>47</v>
      </c>
      <c r="J19" s="76" t="s">
        <v>47</v>
      </c>
      <c r="K19" s="76" t="s">
        <v>47</v>
      </c>
      <c r="L19" s="76" t="s">
        <v>47</v>
      </c>
      <c r="M19" s="76" t="s">
        <v>47</v>
      </c>
      <c r="N19" s="76" t="s">
        <v>47</v>
      </c>
      <c r="O19" s="76" t="s">
        <v>47</v>
      </c>
      <c r="P19" s="76" t="s">
        <v>47</v>
      </c>
      <c r="Q19" s="76" t="s">
        <v>47</v>
      </c>
      <c r="R19" s="76" t="s">
        <v>47</v>
      </c>
      <c r="S19" s="76" t="s">
        <v>47</v>
      </c>
      <c r="T19" s="76" t="s">
        <v>47</v>
      </c>
      <c r="U19" s="76" t="s">
        <v>47</v>
      </c>
      <c r="V19" s="76" t="s">
        <v>47</v>
      </c>
      <c r="W19" s="76" t="s">
        <v>47</v>
      </c>
      <c r="X19" s="76" t="s">
        <v>47</v>
      </c>
      <c r="Y19" s="76" t="s">
        <v>47</v>
      </c>
      <c r="Z19" s="76" t="s">
        <v>47</v>
      </c>
      <c r="AA19" s="76" t="s">
        <v>47</v>
      </c>
      <c r="AB19" s="76" t="s">
        <v>47</v>
      </c>
      <c r="AC19" s="76" t="s">
        <v>47</v>
      </c>
      <c r="AD19" s="76" t="s">
        <v>47</v>
      </c>
      <c r="AE19" s="76" t="s">
        <v>47</v>
      </c>
      <c r="AF19" s="20" t="e">
        <f t="shared" si="1"/>
        <v>#DIV/0!</v>
      </c>
      <c r="AG19" s="76">
        <f t="shared" si="0"/>
        <v>0</v>
      </c>
      <c r="AH19" s="76" t="str">
        <f>IFERROR(VLOOKUP(AJ19,Area_CLCL!$A$5:$E$51,5),"")</f>
        <v/>
      </c>
      <c r="AI19" s="76" t="str">
        <f t="shared" ca="1" si="2"/>
        <v/>
      </c>
      <c r="AJ19" s="76"/>
    </row>
    <row r="20" spans="1:36" x14ac:dyDescent="0.3">
      <c r="A20" s="76" t="s">
        <v>252</v>
      </c>
      <c r="B20" s="76" t="s">
        <v>52</v>
      </c>
      <c r="C20" s="76" t="s">
        <v>52</v>
      </c>
      <c r="D20" s="76" t="s">
        <v>52</v>
      </c>
      <c r="E20" s="76" t="s">
        <v>52</v>
      </c>
      <c r="F20" s="76" t="s">
        <v>52</v>
      </c>
      <c r="G20" s="76" t="s">
        <v>52</v>
      </c>
      <c r="H20" s="76" t="s">
        <v>52</v>
      </c>
      <c r="I20" s="76" t="s">
        <v>52</v>
      </c>
      <c r="J20" s="76" t="s">
        <v>52</v>
      </c>
      <c r="K20" s="76" t="s">
        <v>52</v>
      </c>
      <c r="L20" s="76" t="s">
        <v>52</v>
      </c>
      <c r="M20" s="76" t="s">
        <v>52</v>
      </c>
      <c r="N20" s="76" t="s">
        <v>52</v>
      </c>
      <c r="O20" s="76" t="s">
        <v>52</v>
      </c>
      <c r="P20" s="76" t="s">
        <v>52</v>
      </c>
      <c r="Q20" s="76" t="s">
        <v>52</v>
      </c>
      <c r="R20" s="76" t="s">
        <v>52</v>
      </c>
      <c r="S20" s="76" t="s">
        <v>52</v>
      </c>
      <c r="T20" s="76" t="s">
        <v>52</v>
      </c>
      <c r="U20" s="76" t="s">
        <v>52</v>
      </c>
      <c r="V20" s="76" t="s">
        <v>52</v>
      </c>
      <c r="W20" s="76" t="s">
        <v>52</v>
      </c>
      <c r="X20" s="76" t="s">
        <v>52</v>
      </c>
      <c r="Y20" s="76" t="s">
        <v>52</v>
      </c>
      <c r="Z20" s="76" t="s">
        <v>52</v>
      </c>
      <c r="AA20" s="76" t="s">
        <v>52</v>
      </c>
      <c r="AB20" s="76" t="s">
        <v>52</v>
      </c>
      <c r="AC20" s="76" t="s">
        <v>52</v>
      </c>
      <c r="AD20" s="76" t="s">
        <v>52</v>
      </c>
      <c r="AE20" s="76" t="s">
        <v>52</v>
      </c>
      <c r="AF20" s="20" t="e">
        <f t="shared" si="1"/>
        <v>#DIV/0!</v>
      </c>
      <c r="AG20" s="76">
        <f t="shared" si="0"/>
        <v>0</v>
      </c>
      <c r="AH20" s="76" t="str">
        <f>IFERROR(VLOOKUP(AJ20,Area_CLCL!$A$5:$E$51,5),"")</f>
        <v/>
      </c>
      <c r="AI20" s="76" t="str">
        <f t="shared" ca="1" si="2"/>
        <v/>
      </c>
      <c r="AJ20" s="76"/>
    </row>
    <row r="21" spans="1:36" x14ac:dyDescent="0.3">
      <c r="A21" s="76" t="s">
        <v>253</v>
      </c>
      <c r="B21" s="74">
        <v>0.16917742681917999</v>
      </c>
      <c r="C21" s="74">
        <v>0.16917742681917999</v>
      </c>
      <c r="D21" s="74">
        <v>0.16917742681917999</v>
      </c>
      <c r="E21" s="74">
        <v>0.16917742681917999</v>
      </c>
      <c r="F21" s="74">
        <v>0.16917742681917999</v>
      </c>
      <c r="G21" s="74">
        <v>0.16917742681917999</v>
      </c>
      <c r="H21" s="74">
        <v>0.16917742681917999</v>
      </c>
      <c r="I21" s="74">
        <v>0.16917742681917999</v>
      </c>
      <c r="J21" s="74">
        <v>0.16917742681917999</v>
      </c>
      <c r="K21" s="74">
        <v>0.16917742681917999</v>
      </c>
      <c r="L21" s="74">
        <v>0.16917742681917999</v>
      </c>
      <c r="M21" s="74">
        <v>0.16917742681917999</v>
      </c>
      <c r="N21" s="74">
        <v>0.16917742681917999</v>
      </c>
      <c r="O21" s="74">
        <v>0.16917742681917999</v>
      </c>
      <c r="P21" s="74">
        <v>0.16917742681917999</v>
      </c>
      <c r="Q21" s="74">
        <v>0.16917742681917999</v>
      </c>
      <c r="R21" s="74">
        <v>0.16917742681917999</v>
      </c>
      <c r="S21" s="74">
        <v>0.16917742681917999</v>
      </c>
      <c r="T21" s="74">
        <v>0.16917742681917999</v>
      </c>
      <c r="U21" s="74">
        <v>0.16917742681917999</v>
      </c>
      <c r="V21" s="74">
        <v>0.16917742681917999</v>
      </c>
      <c r="W21" s="74">
        <v>0.16917742681917999</v>
      </c>
      <c r="X21" s="74">
        <v>0.16917742681917999</v>
      </c>
      <c r="Y21" s="74">
        <v>0.16917742681917999</v>
      </c>
      <c r="Z21" s="74">
        <v>0.16917742681917999</v>
      </c>
      <c r="AA21" s="74">
        <v>0.16917742681917999</v>
      </c>
      <c r="AB21" s="74">
        <v>0.16917742681917999</v>
      </c>
      <c r="AC21" s="74">
        <v>0.16917742681917999</v>
      </c>
      <c r="AD21" s="74">
        <v>0.16917742681917999</v>
      </c>
      <c r="AE21" s="74">
        <v>0.16917742681917999</v>
      </c>
      <c r="AF21" s="20">
        <f t="shared" si="1"/>
        <v>1.6696590918240151E-16</v>
      </c>
      <c r="AG21" s="76">
        <f t="shared" si="0"/>
        <v>2.8246862882003589E-17</v>
      </c>
      <c r="AH21" s="76">
        <f>IFERROR(VLOOKUP(AJ21,Area_CLCL!$A$5:$E$51,5),"")</f>
        <v>1</v>
      </c>
      <c r="AI21" s="76">
        <f t="shared" ca="1" si="2"/>
        <v>1822.203</v>
      </c>
      <c r="AJ21" s="76" t="s">
        <v>63</v>
      </c>
    </row>
    <row r="22" spans="1:36" s="3" customFormat="1" x14ac:dyDescent="0.3">
      <c r="A22" s="76" t="s">
        <v>254</v>
      </c>
      <c r="B22" s="74">
        <v>7.9502324409500003E-2</v>
      </c>
      <c r="C22" s="74">
        <v>7.9502324409500003E-2</v>
      </c>
      <c r="D22" s="74">
        <v>7.8329701931310003E-2</v>
      </c>
      <c r="E22" s="74">
        <v>7.82486504517E-2</v>
      </c>
      <c r="F22" s="74">
        <v>7.8314281871479999E-2</v>
      </c>
      <c r="G22" s="74">
        <v>7.9724314088780002E-2</v>
      </c>
      <c r="H22" s="74">
        <v>8.1223498538770006E-2</v>
      </c>
      <c r="I22" s="74">
        <v>8.2789194573479996E-2</v>
      </c>
      <c r="J22" s="74">
        <v>8.2840994913910004E-2</v>
      </c>
      <c r="K22" s="74">
        <v>8.3049050738040003E-2</v>
      </c>
      <c r="L22" s="74">
        <v>8.3041875627420006E-2</v>
      </c>
      <c r="M22" s="74">
        <v>8.2154739379780004E-2</v>
      </c>
      <c r="N22" s="74">
        <v>8.0648526029130002E-2</v>
      </c>
      <c r="O22" s="74">
        <v>7.9820436726199998E-2</v>
      </c>
      <c r="P22" s="74">
        <v>8.1250672050249995E-2</v>
      </c>
      <c r="Q22" s="74">
        <v>8.2400243000699994E-2</v>
      </c>
      <c r="R22" s="74">
        <v>8.1642895613280003E-2</v>
      </c>
      <c r="S22" s="74">
        <v>8.0889339876419997E-2</v>
      </c>
      <c r="T22" s="74">
        <v>7.8612589067290004E-2</v>
      </c>
      <c r="U22" s="74">
        <v>7.9494042479669999E-2</v>
      </c>
      <c r="V22" s="74">
        <v>7.9935950064520006E-2</v>
      </c>
      <c r="W22" s="74">
        <v>8.0159569719089996E-2</v>
      </c>
      <c r="X22" s="74">
        <v>8.0626463530550002E-2</v>
      </c>
      <c r="Y22" s="74">
        <v>8.3145054890769995E-2</v>
      </c>
      <c r="Z22" s="74">
        <v>8.4506515982939998E-2</v>
      </c>
      <c r="AA22" s="74">
        <v>8.671758471181E-2</v>
      </c>
      <c r="AB22" s="74">
        <v>8.7304076217519996E-2</v>
      </c>
      <c r="AC22" s="74">
        <v>8.7006833144200005E-2</v>
      </c>
      <c r="AD22" s="74">
        <v>8.6758521760659998E-2</v>
      </c>
      <c r="AE22" s="74">
        <v>8.7062182837919999E-2</v>
      </c>
      <c r="AF22" s="20">
        <f t="shared" si="1"/>
        <v>3.4499592655853423E-2</v>
      </c>
      <c r="AG22" s="76">
        <f t="shared" si="0"/>
        <v>2.8280150326647846E-3</v>
      </c>
      <c r="AH22" s="76" t="str">
        <f>IFERROR(VLOOKUP(AJ22,Area_CLCL!$A$5:$E$51,5),"")</f>
        <v/>
      </c>
      <c r="AI22" s="76" t="str">
        <f t="shared" ca="1" si="2"/>
        <v/>
      </c>
    </row>
    <row r="23" spans="1:36" s="3" customFormat="1" x14ac:dyDescent="0.3">
      <c r="A23" s="76" t="s">
        <v>255</v>
      </c>
      <c r="B23" s="74">
        <v>7.9448695816789996E-2</v>
      </c>
      <c r="C23" s="74">
        <v>7.9448695816789996E-2</v>
      </c>
      <c r="D23" s="74">
        <v>7.8277954743610004E-2</v>
      </c>
      <c r="E23" s="74">
        <v>7.8198627832039999E-2</v>
      </c>
      <c r="F23" s="74">
        <v>7.8265783046579995E-2</v>
      </c>
      <c r="G23" s="74">
        <v>7.9676310213499996E-2</v>
      </c>
      <c r="H23" s="74">
        <v>8.1175815712089996E-2</v>
      </c>
      <c r="I23" s="74">
        <v>8.2741698008949996E-2</v>
      </c>
      <c r="J23" s="74">
        <v>8.2794613869629996E-2</v>
      </c>
      <c r="K23" s="74">
        <v>8.3003568952140006E-2</v>
      </c>
      <c r="L23" s="74">
        <v>8.2997320852699993E-2</v>
      </c>
      <c r="M23" s="74">
        <v>8.2111574670949997E-2</v>
      </c>
      <c r="N23" s="74">
        <v>8.060692933725E-2</v>
      </c>
      <c r="O23" s="74">
        <v>7.9779843511259996E-2</v>
      </c>
      <c r="P23" s="74">
        <v>8.1209446014159997E-2</v>
      </c>
      <c r="Q23" s="74">
        <v>8.2358499393589996E-2</v>
      </c>
      <c r="R23" s="74">
        <v>8.1601855210280003E-2</v>
      </c>
      <c r="S23" s="74">
        <v>8.0849037350229996E-2</v>
      </c>
      <c r="T23" s="74">
        <v>7.8574225992910002E-2</v>
      </c>
      <c r="U23" s="74">
        <v>7.9455340689560006E-2</v>
      </c>
      <c r="V23" s="74">
        <v>7.9897251684089995E-2</v>
      </c>
      <c r="W23" s="74">
        <v>8.0120868442789997E-2</v>
      </c>
      <c r="X23" s="74">
        <v>8.0587423936560001E-2</v>
      </c>
      <c r="Y23" s="74">
        <v>8.3104264545340006E-2</v>
      </c>
      <c r="Z23" s="74">
        <v>8.4464729908270003E-2</v>
      </c>
      <c r="AA23" s="74">
        <v>8.6674029260809998E-2</v>
      </c>
      <c r="AB23" s="74">
        <v>8.7259727829950007E-2</v>
      </c>
      <c r="AC23" s="74">
        <v>8.6962378897639997E-2</v>
      </c>
      <c r="AD23" s="74">
        <v>8.6713908880670001E-2</v>
      </c>
      <c r="AE23" s="74">
        <v>8.7017162961340003E-2</v>
      </c>
      <c r="AF23" s="20">
        <f t="shared" si="1"/>
        <v>3.452105086189438E-2</v>
      </c>
      <c r="AG23" s="76">
        <f t="shared" si="0"/>
        <v>2.8282607576516883E-3</v>
      </c>
      <c r="AH23" s="76" t="str">
        <f>IFERROR(VLOOKUP(AJ23,Area_CLCL!$A$5:$E$51,5),"")</f>
        <v/>
      </c>
      <c r="AI23" s="76" t="str">
        <f t="shared" ca="1" si="2"/>
        <v/>
      </c>
      <c r="AJ23" s="76"/>
    </row>
    <row r="24" spans="1:36" x14ac:dyDescent="0.3">
      <c r="A24" s="76" t="s">
        <v>256</v>
      </c>
      <c r="B24" s="74">
        <v>0.15095097982485001</v>
      </c>
      <c r="C24" s="74">
        <v>0.15095097982485001</v>
      </c>
      <c r="D24" s="74">
        <v>0.14076650819066999</v>
      </c>
      <c r="E24" s="74">
        <v>0.13893005905502001</v>
      </c>
      <c r="F24" s="74">
        <v>0.14044248294942999</v>
      </c>
      <c r="G24" s="74">
        <v>0.14992395850731</v>
      </c>
      <c r="H24" s="74">
        <v>0.16285130959227001</v>
      </c>
      <c r="I24" s="74">
        <v>0.17626262645221</v>
      </c>
      <c r="J24" s="74">
        <v>0.17365822920915999</v>
      </c>
      <c r="K24" s="74">
        <v>0.16736505230911</v>
      </c>
      <c r="L24" s="74">
        <v>0.16513428277994999</v>
      </c>
      <c r="M24" s="74">
        <v>0.15327551486252999</v>
      </c>
      <c r="N24" s="74">
        <v>0.13781315814093001</v>
      </c>
      <c r="O24" s="74">
        <v>0.12916781609138001</v>
      </c>
      <c r="P24" s="74">
        <v>0.118905522422</v>
      </c>
      <c r="Q24" s="74">
        <v>0.10870448428056</v>
      </c>
      <c r="R24" s="74">
        <v>0.10898930892835</v>
      </c>
      <c r="S24" s="74">
        <v>0.10545142936293</v>
      </c>
      <c r="T24" s="74">
        <v>8.2239423453829993E-2</v>
      </c>
      <c r="U24" s="74">
        <v>8.5221617175950004E-2</v>
      </c>
      <c r="V24" s="74">
        <v>9.3423527434119996E-2</v>
      </c>
      <c r="W24" s="74">
        <v>8.4314443588579993E-2</v>
      </c>
      <c r="X24" s="74">
        <v>8.8974662451060005E-2</v>
      </c>
      <c r="Y24" s="74">
        <v>0.10970516760258001</v>
      </c>
      <c r="Z24" s="74">
        <v>0.11146598147867</v>
      </c>
      <c r="AA24" s="74">
        <v>0.12019541895386</v>
      </c>
      <c r="AB24" s="74">
        <v>0.13119240622117001</v>
      </c>
      <c r="AC24" s="74">
        <v>0.14158501455653999</v>
      </c>
      <c r="AD24" s="74">
        <v>0.14692719189883999</v>
      </c>
      <c r="AE24" s="74">
        <v>0.15437707668603001</v>
      </c>
      <c r="AF24" s="20">
        <f t="shared" si="1"/>
        <v>0.21700462319582137</v>
      </c>
      <c r="AG24" s="76">
        <f t="shared" si="0"/>
        <v>2.8272070601517204E-2</v>
      </c>
      <c r="AH24" s="76">
        <f>IFERROR(VLOOKUP(AJ24,Area_CLCL!$A$5:$E$51,5),"")</f>
        <v>1</v>
      </c>
      <c r="AI24" s="76">
        <f t="shared" ca="1" si="2"/>
        <v>15849.471</v>
      </c>
      <c r="AJ24" s="76" t="s">
        <v>31</v>
      </c>
    </row>
    <row r="25" spans="1:36" x14ac:dyDescent="0.3">
      <c r="A25" s="76" t="s">
        <v>257</v>
      </c>
      <c r="B25" s="76" t="s">
        <v>50</v>
      </c>
      <c r="C25" s="76" t="s">
        <v>50</v>
      </c>
      <c r="D25" s="76" t="s">
        <v>50</v>
      </c>
      <c r="E25" s="76" t="s">
        <v>50</v>
      </c>
      <c r="F25" s="76" t="s">
        <v>50</v>
      </c>
      <c r="G25" s="76" t="s">
        <v>50</v>
      </c>
      <c r="H25" s="76" t="s">
        <v>50</v>
      </c>
      <c r="I25" s="76" t="s">
        <v>50</v>
      </c>
      <c r="J25" s="76" t="s">
        <v>50</v>
      </c>
      <c r="K25" s="76" t="s">
        <v>50</v>
      </c>
      <c r="L25" s="76" t="s">
        <v>50</v>
      </c>
      <c r="M25" s="76" t="s">
        <v>50</v>
      </c>
      <c r="N25" s="76" t="s">
        <v>50</v>
      </c>
      <c r="O25" s="76" t="s">
        <v>50</v>
      </c>
      <c r="P25" s="76" t="s">
        <v>50</v>
      </c>
      <c r="Q25" s="76" t="s">
        <v>50</v>
      </c>
      <c r="R25" s="76" t="s">
        <v>50</v>
      </c>
      <c r="S25" s="76" t="s">
        <v>50</v>
      </c>
      <c r="T25" s="76" t="s">
        <v>50</v>
      </c>
      <c r="U25" s="76" t="s">
        <v>50</v>
      </c>
      <c r="V25" s="76" t="s">
        <v>50</v>
      </c>
      <c r="W25" s="76" t="s">
        <v>50</v>
      </c>
      <c r="X25" s="76" t="s">
        <v>50</v>
      </c>
      <c r="Y25" s="76" t="s">
        <v>50</v>
      </c>
      <c r="Z25" s="76" t="s">
        <v>50</v>
      </c>
      <c r="AA25" s="76" t="s">
        <v>50</v>
      </c>
      <c r="AB25" s="76" t="s">
        <v>50</v>
      </c>
      <c r="AC25" s="76" t="s">
        <v>50</v>
      </c>
      <c r="AD25" s="76" t="s">
        <v>50</v>
      </c>
      <c r="AE25" s="76" t="s">
        <v>50</v>
      </c>
      <c r="AF25" s="20" t="e">
        <f t="shared" si="1"/>
        <v>#DIV/0!</v>
      </c>
      <c r="AG25" s="76">
        <f t="shared" si="0"/>
        <v>0</v>
      </c>
      <c r="AH25" s="76" t="str">
        <f>IFERROR(VLOOKUP(AJ25,Area_CLCL!$A$5:$E$51,5),"")</f>
        <v/>
      </c>
      <c r="AI25" s="76" t="str">
        <f t="shared" ca="1" si="2"/>
        <v/>
      </c>
      <c r="AJ25" s="76"/>
    </row>
    <row r="26" spans="1:36" x14ac:dyDescent="0.3">
      <c r="A26" s="76" t="s">
        <v>258</v>
      </c>
      <c r="B26" s="76" t="s">
        <v>50</v>
      </c>
      <c r="C26" s="76" t="s">
        <v>50</v>
      </c>
      <c r="D26" s="76" t="s">
        <v>50</v>
      </c>
      <c r="E26" s="76" t="s">
        <v>50</v>
      </c>
      <c r="F26" s="76" t="s">
        <v>50</v>
      </c>
      <c r="G26" s="76" t="s">
        <v>50</v>
      </c>
      <c r="H26" s="76" t="s">
        <v>50</v>
      </c>
      <c r="I26" s="76" t="s">
        <v>50</v>
      </c>
      <c r="J26" s="76" t="s">
        <v>50</v>
      </c>
      <c r="K26" s="76" t="s">
        <v>50</v>
      </c>
      <c r="L26" s="76" t="s">
        <v>50</v>
      </c>
      <c r="M26" s="76" t="s">
        <v>50</v>
      </c>
      <c r="N26" s="76" t="s">
        <v>50</v>
      </c>
      <c r="O26" s="76" t="s">
        <v>50</v>
      </c>
      <c r="P26" s="76" t="s">
        <v>50</v>
      </c>
      <c r="Q26" s="76" t="s">
        <v>50</v>
      </c>
      <c r="R26" s="76" t="s">
        <v>50</v>
      </c>
      <c r="S26" s="76" t="s">
        <v>50</v>
      </c>
      <c r="T26" s="76" t="s">
        <v>50</v>
      </c>
      <c r="U26" s="76" t="s">
        <v>50</v>
      </c>
      <c r="V26" s="76" t="s">
        <v>50</v>
      </c>
      <c r="W26" s="76" t="s">
        <v>50</v>
      </c>
      <c r="X26" s="76" t="s">
        <v>50</v>
      </c>
      <c r="Y26" s="76" t="s">
        <v>50</v>
      </c>
      <c r="Z26" s="76" t="s">
        <v>50</v>
      </c>
      <c r="AA26" s="76" t="s">
        <v>50</v>
      </c>
      <c r="AB26" s="76" t="s">
        <v>50</v>
      </c>
      <c r="AC26" s="76" t="s">
        <v>50</v>
      </c>
      <c r="AD26" s="76" t="s">
        <v>50</v>
      </c>
      <c r="AE26" s="76" t="s">
        <v>50</v>
      </c>
      <c r="AF26" s="20" t="e">
        <f t="shared" si="1"/>
        <v>#DIV/0!</v>
      </c>
      <c r="AG26" s="76">
        <f t="shared" si="0"/>
        <v>0</v>
      </c>
      <c r="AH26" s="76">
        <f>IFERROR(VLOOKUP(AJ26,Area_CLCL!$A$5:$E$51,5),"")</f>
        <v>1</v>
      </c>
      <c r="AI26" s="76">
        <f t="shared" ca="1" si="2"/>
        <v>23263.558240999999</v>
      </c>
      <c r="AJ26" s="76" t="s">
        <v>34</v>
      </c>
    </row>
    <row r="27" spans="1:36" x14ac:dyDescent="0.3">
      <c r="A27" s="76" t="s">
        <v>259</v>
      </c>
      <c r="B27" s="74">
        <v>0.41</v>
      </c>
      <c r="C27" s="74">
        <v>0.41</v>
      </c>
      <c r="D27" s="74">
        <v>0.40954087</v>
      </c>
      <c r="E27" s="74">
        <v>0.40961191000000002</v>
      </c>
      <c r="F27" s="74">
        <v>0.40967724</v>
      </c>
      <c r="G27" s="74">
        <v>0.40973693</v>
      </c>
      <c r="H27" s="74">
        <v>0.40979144000000001</v>
      </c>
      <c r="I27" s="74">
        <v>0.40984132000000001</v>
      </c>
      <c r="J27" s="74">
        <v>0.40988669999999999</v>
      </c>
      <c r="K27" s="74">
        <v>0.40992801000000001</v>
      </c>
      <c r="L27" s="74">
        <v>0.40996565000000001</v>
      </c>
      <c r="M27" s="74">
        <v>0.41</v>
      </c>
      <c r="N27" s="74">
        <v>0.40888716000000003</v>
      </c>
      <c r="O27" s="74">
        <v>0.40920641000000002</v>
      </c>
      <c r="P27" s="74">
        <v>0.40949711</v>
      </c>
      <c r="Q27" s="74">
        <v>0.40976053000000001</v>
      </c>
      <c r="R27" s="74">
        <v>0.41</v>
      </c>
      <c r="S27" s="74">
        <v>0.40953595999999998</v>
      </c>
      <c r="T27" s="74">
        <v>0.40977956999999998</v>
      </c>
      <c r="U27" s="74">
        <v>0.41</v>
      </c>
      <c r="V27" s="74">
        <v>0.40954715000000003</v>
      </c>
      <c r="W27" s="74">
        <v>0.40971296000000001</v>
      </c>
      <c r="X27" s="74">
        <v>0.4098638</v>
      </c>
      <c r="Y27" s="74">
        <v>0.41</v>
      </c>
      <c r="Z27" s="74">
        <v>0.40949808999999998</v>
      </c>
      <c r="AA27" s="74">
        <v>0.40968233999999998</v>
      </c>
      <c r="AB27" s="74">
        <v>0.40984915999999999</v>
      </c>
      <c r="AC27" s="74">
        <v>0.41</v>
      </c>
      <c r="AD27" s="74">
        <v>0.40976389000000002</v>
      </c>
      <c r="AE27" s="74">
        <v>0.41</v>
      </c>
      <c r="AF27" s="20">
        <f t="shared" si="1"/>
        <v>6.350428228547244E-4</v>
      </c>
      <c r="AG27" s="76">
        <f t="shared" si="0"/>
        <v>2.6020472801105144E-4</v>
      </c>
      <c r="AH27" s="76">
        <f>IFERROR(VLOOKUP(AJ27,Area_CLCL!$A$5:$E$51,5),"")</f>
        <v>1</v>
      </c>
      <c r="AI27" s="76">
        <f t="shared" ca="1" si="2"/>
        <v>10541.2</v>
      </c>
      <c r="AJ27" s="76" t="s">
        <v>35</v>
      </c>
    </row>
    <row r="28" spans="1:36" x14ac:dyDescent="0.3">
      <c r="A28" s="76" t="s">
        <v>260</v>
      </c>
      <c r="B28" s="76" t="s">
        <v>328</v>
      </c>
      <c r="C28" s="76" t="s">
        <v>328</v>
      </c>
      <c r="D28" s="76" t="s">
        <v>328</v>
      </c>
      <c r="E28" s="76" t="s">
        <v>328</v>
      </c>
      <c r="F28" s="76" t="s">
        <v>328</v>
      </c>
      <c r="G28" s="76" t="s">
        <v>328</v>
      </c>
      <c r="H28" s="76" t="s">
        <v>328</v>
      </c>
      <c r="I28" s="76" t="s">
        <v>328</v>
      </c>
      <c r="J28" s="76" t="s">
        <v>328</v>
      </c>
      <c r="K28" s="76" t="s">
        <v>328</v>
      </c>
      <c r="L28" s="76" t="s">
        <v>328</v>
      </c>
      <c r="M28" s="76" t="s">
        <v>328</v>
      </c>
      <c r="N28" s="76" t="s">
        <v>328</v>
      </c>
      <c r="O28" s="76" t="s">
        <v>328</v>
      </c>
      <c r="P28" s="76" t="s">
        <v>328</v>
      </c>
      <c r="Q28" s="76" t="s">
        <v>328</v>
      </c>
      <c r="R28" s="76" t="s">
        <v>328</v>
      </c>
      <c r="S28" s="76" t="s">
        <v>328</v>
      </c>
      <c r="T28" s="76" t="s">
        <v>328</v>
      </c>
      <c r="U28" s="76" t="s">
        <v>328</v>
      </c>
      <c r="V28" s="76" t="s">
        <v>328</v>
      </c>
      <c r="W28" s="76" t="s">
        <v>328</v>
      </c>
      <c r="X28" s="76" t="s">
        <v>328</v>
      </c>
      <c r="Y28" s="76" t="s">
        <v>328</v>
      </c>
      <c r="Z28" s="76" t="s">
        <v>328</v>
      </c>
      <c r="AA28" s="76" t="s">
        <v>328</v>
      </c>
      <c r="AB28" s="76" t="s">
        <v>47</v>
      </c>
      <c r="AC28" s="76" t="s">
        <v>47</v>
      </c>
      <c r="AD28" s="76" t="s">
        <v>47</v>
      </c>
      <c r="AE28" s="76" t="s">
        <v>47</v>
      </c>
      <c r="AF28" s="20" t="e">
        <f t="shared" si="1"/>
        <v>#DIV/0!</v>
      </c>
      <c r="AG28" s="76">
        <f t="shared" si="0"/>
        <v>0</v>
      </c>
      <c r="AH28" s="76">
        <f>IFERROR(VLOOKUP(AJ28,Area_CLCL!$A$5:$E$51,5),"")</f>
        <v>1</v>
      </c>
      <c r="AI28" s="76">
        <f t="shared" ca="1" si="2"/>
        <v>3392.5964222751195</v>
      </c>
      <c r="AJ28" s="76" t="s">
        <v>36</v>
      </c>
    </row>
    <row r="29" spans="1:36" x14ac:dyDescent="0.3">
      <c r="A29" s="76" t="s">
        <v>261</v>
      </c>
      <c r="B29" s="76" t="s">
        <v>23</v>
      </c>
      <c r="C29" s="76" t="s">
        <v>23</v>
      </c>
      <c r="D29" s="76" t="s">
        <v>23</v>
      </c>
      <c r="E29" s="76" t="s">
        <v>23</v>
      </c>
      <c r="F29" s="76" t="s">
        <v>23</v>
      </c>
      <c r="G29" s="76" t="s">
        <v>23</v>
      </c>
      <c r="H29" s="76" t="s">
        <v>23</v>
      </c>
      <c r="I29" s="76" t="s">
        <v>23</v>
      </c>
      <c r="J29" s="76" t="s">
        <v>23</v>
      </c>
      <c r="K29" s="76" t="s">
        <v>23</v>
      </c>
      <c r="L29" s="76" t="s">
        <v>23</v>
      </c>
      <c r="M29" s="76" t="s">
        <v>23</v>
      </c>
      <c r="N29" s="76" t="s">
        <v>23</v>
      </c>
      <c r="O29" s="76" t="s">
        <v>23</v>
      </c>
      <c r="P29" s="76" t="s">
        <v>23</v>
      </c>
      <c r="Q29" s="76" t="s">
        <v>23</v>
      </c>
      <c r="R29" s="76" t="s">
        <v>23</v>
      </c>
      <c r="S29" s="76" t="s">
        <v>23</v>
      </c>
      <c r="T29" s="76" t="s">
        <v>23</v>
      </c>
      <c r="U29" s="76" t="s">
        <v>23</v>
      </c>
      <c r="V29" s="76" t="s">
        <v>23</v>
      </c>
      <c r="W29" s="76" t="s">
        <v>23</v>
      </c>
      <c r="X29" s="76" t="s">
        <v>23</v>
      </c>
      <c r="Y29" s="76" t="s">
        <v>23</v>
      </c>
      <c r="Z29" s="76" t="s">
        <v>23</v>
      </c>
      <c r="AA29" s="76" t="s">
        <v>23</v>
      </c>
      <c r="AB29" s="76" t="s">
        <v>23</v>
      </c>
      <c r="AC29" s="76" t="s">
        <v>23</v>
      </c>
      <c r="AD29" s="76" t="s">
        <v>23</v>
      </c>
      <c r="AE29" s="76" t="s">
        <v>23</v>
      </c>
      <c r="AF29" s="20" t="e">
        <f t="shared" si="1"/>
        <v>#DIV/0!</v>
      </c>
      <c r="AG29" s="76">
        <f t="shared" si="0"/>
        <v>0</v>
      </c>
      <c r="AH29" s="76">
        <f>IFERROR(VLOOKUP(AJ29,Area_CLCL!$A$5:$E$51,5),"")</f>
        <v>1</v>
      </c>
      <c r="AI29" s="76">
        <f t="shared" ca="1" si="2"/>
        <v>1924.5463544966301</v>
      </c>
      <c r="AJ29" s="76" t="s">
        <v>38</v>
      </c>
    </row>
    <row r="30" spans="1:36" x14ac:dyDescent="0.3">
      <c r="A30" s="76" t="s">
        <v>262</v>
      </c>
      <c r="B30" s="76" t="s">
        <v>52</v>
      </c>
      <c r="C30" s="76" t="s">
        <v>52</v>
      </c>
      <c r="D30" s="76" t="s">
        <v>52</v>
      </c>
      <c r="E30" s="76" t="s">
        <v>52</v>
      </c>
      <c r="F30" s="76" t="s">
        <v>52</v>
      </c>
      <c r="G30" s="76" t="s">
        <v>52</v>
      </c>
      <c r="H30" s="76" t="s">
        <v>52</v>
      </c>
      <c r="I30" s="76" t="s">
        <v>52</v>
      </c>
      <c r="J30" s="76" t="s">
        <v>52</v>
      </c>
      <c r="K30" s="76" t="s">
        <v>52</v>
      </c>
      <c r="L30" s="76" t="s">
        <v>52</v>
      </c>
      <c r="M30" s="76" t="s">
        <v>52</v>
      </c>
      <c r="N30" s="76" t="s">
        <v>52</v>
      </c>
      <c r="O30" s="76" t="s">
        <v>52</v>
      </c>
      <c r="P30" s="76" t="s">
        <v>52</v>
      </c>
      <c r="Q30" s="76" t="s">
        <v>52</v>
      </c>
      <c r="R30" s="76" t="s">
        <v>52</v>
      </c>
      <c r="S30" s="76" t="s">
        <v>52</v>
      </c>
      <c r="T30" s="76" t="s">
        <v>52</v>
      </c>
      <c r="U30" s="76" t="s">
        <v>52</v>
      </c>
      <c r="V30" s="76" t="s">
        <v>52</v>
      </c>
      <c r="W30" s="76" t="s">
        <v>52</v>
      </c>
      <c r="X30" s="76" t="s">
        <v>52</v>
      </c>
      <c r="Y30" s="76" t="s">
        <v>52</v>
      </c>
      <c r="Z30" s="76" t="s">
        <v>52</v>
      </c>
      <c r="AA30" s="76" t="s">
        <v>52</v>
      </c>
      <c r="AB30" s="76" t="s">
        <v>52</v>
      </c>
      <c r="AC30" s="76" t="s">
        <v>52</v>
      </c>
      <c r="AD30" s="76" t="s">
        <v>52</v>
      </c>
      <c r="AE30" s="76" t="s">
        <v>52</v>
      </c>
      <c r="AF30" s="20" t="e">
        <f t="shared" si="1"/>
        <v>#DIV/0!</v>
      </c>
      <c r="AG30" s="76">
        <f t="shared" si="0"/>
        <v>0</v>
      </c>
      <c r="AH30" s="76" t="str">
        <f>IFERROR(VLOOKUP(AJ30,Area_CLCL!$A$5:$E$51,5),"")</f>
        <v/>
      </c>
      <c r="AI30" s="76" t="str">
        <f t="shared" ca="1" si="2"/>
        <v/>
      </c>
      <c r="AJ30" s="76"/>
    </row>
    <row r="31" spans="1:36" x14ac:dyDescent="0.3">
      <c r="A31" s="76" t="s">
        <v>263</v>
      </c>
      <c r="B31" s="74">
        <v>-4.6880319987160003E-2</v>
      </c>
      <c r="C31" s="74">
        <v>-4.6880319987160003E-2</v>
      </c>
      <c r="D31" s="74">
        <v>-4.6881947057980003E-2</v>
      </c>
      <c r="E31" s="74">
        <v>-4.6883574385860001E-2</v>
      </c>
      <c r="F31" s="74">
        <v>-4.6885201970859998E-2</v>
      </c>
      <c r="G31" s="74">
        <v>-4.6886829813030002E-2</v>
      </c>
      <c r="H31" s="74">
        <v>-4.6936746429880001E-2</v>
      </c>
      <c r="I31" s="74">
        <v>-4.698684130729E-2</v>
      </c>
      <c r="J31" s="74">
        <v>-4.703711540187E-2</v>
      </c>
      <c r="K31" s="74">
        <v>-4.7087569677089998E-2</v>
      </c>
      <c r="L31" s="74">
        <v>-4.7138205103320001E-2</v>
      </c>
      <c r="M31" s="74">
        <v>-4.7210790438409998E-2</v>
      </c>
      <c r="N31" s="74">
        <v>-4.728387031556E-2</v>
      </c>
      <c r="O31" s="74">
        <v>-4.735744980619E-2</v>
      </c>
      <c r="P31" s="74">
        <v>-4.7431534051320001E-2</v>
      </c>
      <c r="Q31" s="74">
        <v>-4.7506128262739998E-2</v>
      </c>
      <c r="R31" s="74">
        <v>-4.7581237724249999E-2</v>
      </c>
      <c r="S31" s="74">
        <v>-6.4681137765449995E-2</v>
      </c>
      <c r="T31" s="74">
        <v>-5.3909604251279997E-2</v>
      </c>
      <c r="U31" s="74">
        <v>-6.1185798178350001E-2</v>
      </c>
      <c r="V31" s="74">
        <v>-4.455451009012E-2</v>
      </c>
      <c r="W31" s="74">
        <v>-3.909294391965E-2</v>
      </c>
      <c r="X31" s="74">
        <v>-3.7034759764870001E-2</v>
      </c>
      <c r="Y31" s="74">
        <v>-3.2600400394570003E-2</v>
      </c>
      <c r="Z31" s="74">
        <v>-4.3092669124280003E-2</v>
      </c>
      <c r="AA31" s="74">
        <v>-3.0264621255400002E-2</v>
      </c>
      <c r="AB31" s="74">
        <v>-3.450328717106E-2</v>
      </c>
      <c r="AC31" s="74">
        <v>-4.0176432362350002E-2</v>
      </c>
      <c r="AD31" s="74">
        <v>-3.8090611085239999E-2</v>
      </c>
      <c r="AE31" s="74">
        <v>-4.5936474672070002E-2</v>
      </c>
      <c r="AF31" s="20">
        <f t="shared" si="1"/>
        <v>0.15820751765435789</v>
      </c>
      <c r="AG31" s="76">
        <f t="shared" si="0"/>
        <v>7.1962523072084741E-3</v>
      </c>
      <c r="AH31" s="76">
        <f>IFERROR(VLOOKUP(AJ31,Area_CLCL!$A$5:$E$51,5),"")</f>
        <v>1</v>
      </c>
      <c r="AI31" s="76">
        <f t="shared" ca="1" si="2"/>
        <v>175.72997012684971</v>
      </c>
      <c r="AJ31" s="76" t="s">
        <v>39</v>
      </c>
    </row>
    <row r="32" spans="1:36" x14ac:dyDescent="0.3">
      <c r="A32" s="76" t="s">
        <v>264</v>
      </c>
      <c r="B32" s="76" t="s">
        <v>47</v>
      </c>
      <c r="C32" s="76" t="s">
        <v>47</v>
      </c>
      <c r="D32" s="76" t="s">
        <v>47</v>
      </c>
      <c r="E32" s="76" t="s">
        <v>47</v>
      </c>
      <c r="F32" s="76" t="s">
        <v>47</v>
      </c>
      <c r="G32" s="76" t="s">
        <v>47</v>
      </c>
      <c r="H32" s="76" t="s">
        <v>47</v>
      </c>
      <c r="I32" s="76" t="s">
        <v>47</v>
      </c>
      <c r="J32" s="76" t="s">
        <v>47</v>
      </c>
      <c r="K32" s="76" t="s">
        <v>47</v>
      </c>
      <c r="L32" s="76" t="s">
        <v>47</v>
      </c>
      <c r="M32" s="76" t="s">
        <v>47</v>
      </c>
      <c r="N32" s="76" t="s">
        <v>47</v>
      </c>
      <c r="O32" s="76" t="s">
        <v>47</v>
      </c>
      <c r="P32" s="76" t="s">
        <v>47</v>
      </c>
      <c r="Q32" s="76" t="s">
        <v>47</v>
      </c>
      <c r="R32" s="76" t="s">
        <v>47</v>
      </c>
      <c r="S32" s="76" t="s">
        <v>47</v>
      </c>
      <c r="T32" s="76" t="s">
        <v>47</v>
      </c>
      <c r="U32" s="76" t="s">
        <v>47</v>
      </c>
      <c r="V32" s="76" t="s">
        <v>47</v>
      </c>
      <c r="W32" s="76" t="s">
        <v>47</v>
      </c>
      <c r="X32" s="76" t="s">
        <v>47</v>
      </c>
      <c r="Y32" s="76" t="s">
        <v>47</v>
      </c>
      <c r="Z32" s="76" t="s">
        <v>47</v>
      </c>
      <c r="AA32" s="76" t="s">
        <v>47</v>
      </c>
      <c r="AB32" s="76" t="s">
        <v>47</v>
      </c>
      <c r="AC32" s="76" t="s">
        <v>47</v>
      </c>
      <c r="AD32" s="76" t="s">
        <v>47</v>
      </c>
      <c r="AE32" s="76" t="s">
        <v>47</v>
      </c>
      <c r="AF32" s="20" t="e">
        <f t="shared" si="1"/>
        <v>#DIV/0!</v>
      </c>
      <c r="AG32" s="76">
        <f t="shared" si="0"/>
        <v>0</v>
      </c>
      <c r="AH32" s="76">
        <f>IFERROR(VLOOKUP(AJ32,Area_CLCL!$A$5:$E$51,5),"")</f>
        <v>1</v>
      </c>
      <c r="AI32" s="76">
        <f t="shared" ca="1" si="2"/>
        <v>8157.4246597237425</v>
      </c>
      <c r="AJ32" s="76" t="s">
        <v>40</v>
      </c>
    </row>
    <row r="33" spans="1:36" x14ac:dyDescent="0.3">
      <c r="A33" s="76" t="s">
        <v>265</v>
      </c>
      <c r="B33" s="74">
        <v>2.9413868044600002E-3</v>
      </c>
      <c r="C33" s="74">
        <v>2.9413868044600002E-3</v>
      </c>
      <c r="D33" s="74">
        <v>5.8630361019999999E-3</v>
      </c>
      <c r="E33" s="74">
        <v>8.6693945491899994E-3</v>
      </c>
      <c r="F33" s="74">
        <v>1.1402277943859999E-2</v>
      </c>
      <c r="G33" s="74">
        <v>1.4076886982109999E-2</v>
      </c>
      <c r="H33" s="74">
        <v>1.6689115670160001E-2</v>
      </c>
      <c r="I33" s="74">
        <v>1.8421908609479998E-2</v>
      </c>
      <c r="J33" s="74">
        <v>2.0127688190139999E-2</v>
      </c>
      <c r="K33" s="74">
        <v>2.1833861181740001E-2</v>
      </c>
      <c r="L33" s="74">
        <v>2.3528688539069999E-2</v>
      </c>
      <c r="M33" s="74">
        <v>2.523292649614E-2</v>
      </c>
      <c r="N33" s="74">
        <v>2.6929486593159999E-2</v>
      </c>
      <c r="O33" s="74">
        <v>2.8617953023829999E-2</v>
      </c>
      <c r="P33" s="74">
        <v>2.965743146057E-2</v>
      </c>
      <c r="Q33" s="74">
        <v>3.0688715644760001E-2</v>
      </c>
      <c r="R33" s="74">
        <v>3.1716409296239999E-2</v>
      </c>
      <c r="S33" s="74">
        <v>3.1791850873419999E-2</v>
      </c>
      <c r="T33" s="74">
        <v>3.1685631907000002E-2</v>
      </c>
      <c r="U33" s="74">
        <v>3.1842331535399997E-2</v>
      </c>
      <c r="V33" s="74">
        <v>3.1353971666989999E-2</v>
      </c>
      <c r="W33" s="74">
        <v>3.055616873674E-2</v>
      </c>
      <c r="X33" s="74">
        <v>2.9574649257199999E-2</v>
      </c>
      <c r="Y33" s="74">
        <v>2.848629677776E-2</v>
      </c>
      <c r="Z33" s="74">
        <v>2.714744556063E-2</v>
      </c>
      <c r="AA33" s="74">
        <v>2.6157859501260001E-2</v>
      </c>
      <c r="AB33" s="74">
        <v>2.539737273029E-2</v>
      </c>
      <c r="AC33" s="74">
        <v>2.454935737135E-2</v>
      </c>
      <c r="AD33" s="74">
        <v>2.3651516890230002E-2</v>
      </c>
      <c r="AE33" s="74">
        <v>2.2829902689440001E-2</v>
      </c>
      <c r="AF33" s="20">
        <f t="shared" si="1"/>
        <v>0.34847673575556398</v>
      </c>
      <c r="AG33" s="76">
        <f t="shared" si="0"/>
        <v>8.1882602711680942E-3</v>
      </c>
      <c r="AH33" s="76" t="str">
        <f>IFERROR(VLOOKUP(AJ33,Area_CLCL!$A$5:$E$51,5),"")</f>
        <v/>
      </c>
      <c r="AI33" s="76" t="str">
        <f t="shared" ca="1" si="2"/>
        <v/>
      </c>
      <c r="AJ33" s="76"/>
    </row>
    <row r="34" spans="1:36" x14ac:dyDescent="0.3">
      <c r="A34" s="76" t="s">
        <v>266</v>
      </c>
      <c r="B34" s="74">
        <v>0.15344844405423999</v>
      </c>
      <c r="C34" s="74">
        <v>0.15344844405423999</v>
      </c>
      <c r="D34" s="74">
        <v>0.2078880901496</v>
      </c>
      <c r="E34" s="74">
        <v>0.26187245590231001</v>
      </c>
      <c r="F34" s="74">
        <v>0.31649116027437002</v>
      </c>
      <c r="G34" s="74">
        <v>0.32509433962264001</v>
      </c>
      <c r="H34" s="74">
        <v>0.33336406379644001</v>
      </c>
      <c r="I34" s="74">
        <v>0.34120403749098999</v>
      </c>
      <c r="J34" s="74">
        <v>0.34869986778315998</v>
      </c>
      <c r="K34" s="74">
        <v>0.35587372779024001</v>
      </c>
      <c r="L34" s="74">
        <v>0.28403975197485998</v>
      </c>
      <c r="M34" s="74">
        <v>0.21452476572959001</v>
      </c>
      <c r="N34" s="74">
        <v>0.14706124804220999</v>
      </c>
      <c r="O34" s="74">
        <v>8.1559707554829997E-2</v>
      </c>
      <c r="P34" s="74">
        <v>1.793578348947E-2</v>
      </c>
      <c r="Q34" s="74">
        <v>9.6101613676309997E-2</v>
      </c>
      <c r="R34" s="74">
        <v>0.17389225374562001</v>
      </c>
      <c r="S34" s="74">
        <v>0.25298119247699002</v>
      </c>
      <c r="T34" s="74">
        <v>0.33290447089095998</v>
      </c>
      <c r="U34" s="74">
        <v>0.41338391992251</v>
      </c>
      <c r="V34" s="74">
        <v>0.38717187123705998</v>
      </c>
      <c r="W34" s="74">
        <v>0.36127744510977999</v>
      </c>
      <c r="X34" s="74">
        <v>0.35148868598650002</v>
      </c>
      <c r="Y34" s="74">
        <v>0.31024952621605001</v>
      </c>
      <c r="Z34" s="74">
        <v>0.28511974872398999</v>
      </c>
      <c r="AA34" s="74">
        <v>0.26279196937739002</v>
      </c>
      <c r="AB34" s="74">
        <v>0.24065583961458001</v>
      </c>
      <c r="AC34" s="74">
        <v>0.21875241555229</v>
      </c>
      <c r="AD34" s="74">
        <v>0.19707804690503999</v>
      </c>
      <c r="AE34" s="74">
        <v>0.17652033520412</v>
      </c>
      <c r="AF34" s="20">
        <f t="shared" si="1"/>
        <v>0.38243717451413489</v>
      </c>
      <c r="AG34" s="76">
        <f t="shared" si="0"/>
        <v>9.8239232028991236E-2</v>
      </c>
      <c r="AH34" s="76" t="str">
        <f>IFERROR(VLOOKUP(AJ34,Area_CLCL!$A$5:$E$51,5),"")</f>
        <v/>
      </c>
      <c r="AI34" s="76" t="str">
        <f t="shared" ca="1" si="2"/>
        <v/>
      </c>
      <c r="AJ34" s="76"/>
    </row>
    <row r="35" spans="1:36" x14ac:dyDescent="0.3">
      <c r="A35" s="76" t="s">
        <v>267</v>
      </c>
      <c r="B35" s="76" t="s">
        <v>52</v>
      </c>
      <c r="C35" s="76" t="s">
        <v>52</v>
      </c>
      <c r="D35" s="76" t="s">
        <v>52</v>
      </c>
      <c r="E35" s="76" t="s">
        <v>52</v>
      </c>
      <c r="F35" s="76" t="s">
        <v>52</v>
      </c>
      <c r="G35" s="76" t="s">
        <v>52</v>
      </c>
      <c r="H35" s="76" t="s">
        <v>52</v>
      </c>
      <c r="I35" s="76" t="s">
        <v>52</v>
      </c>
      <c r="J35" s="76" t="s">
        <v>52</v>
      </c>
      <c r="K35" s="76" t="s">
        <v>52</v>
      </c>
      <c r="L35" s="76" t="s">
        <v>52</v>
      </c>
      <c r="M35" s="76" t="s">
        <v>52</v>
      </c>
      <c r="N35" s="76" t="s">
        <v>52</v>
      </c>
      <c r="O35" s="76" t="s">
        <v>52</v>
      </c>
      <c r="P35" s="76" t="s">
        <v>52</v>
      </c>
      <c r="Q35" s="76" t="s">
        <v>52</v>
      </c>
      <c r="R35" s="76" t="s">
        <v>52</v>
      </c>
      <c r="S35" s="76" t="s">
        <v>52</v>
      </c>
      <c r="T35" s="76" t="s">
        <v>52</v>
      </c>
      <c r="U35" s="76" t="s">
        <v>52</v>
      </c>
      <c r="V35" s="76" t="s">
        <v>52</v>
      </c>
      <c r="W35" s="76" t="s">
        <v>52</v>
      </c>
      <c r="X35" s="76" t="s">
        <v>52</v>
      </c>
      <c r="Y35" s="76" t="s">
        <v>52</v>
      </c>
      <c r="Z35" s="76" t="s">
        <v>52</v>
      </c>
      <c r="AA35" s="76" t="s">
        <v>52</v>
      </c>
      <c r="AB35" s="76" t="s">
        <v>52</v>
      </c>
      <c r="AC35" s="76" t="s">
        <v>52</v>
      </c>
      <c r="AD35" s="76" t="s">
        <v>52</v>
      </c>
      <c r="AE35" s="76" t="s">
        <v>52</v>
      </c>
      <c r="AF35" s="20" t="e">
        <f t="shared" si="1"/>
        <v>#DIV/0!</v>
      </c>
      <c r="AG35" s="76">
        <f t="shared" si="0"/>
        <v>0</v>
      </c>
      <c r="AH35" s="76">
        <f>IFERROR(VLOOKUP(AJ35,Area_CLCL!$A$5:$E$51,5),"")</f>
        <v>1</v>
      </c>
      <c r="AI35" s="76">
        <f t="shared" ca="1" si="2"/>
        <v>2730.5551839999998</v>
      </c>
      <c r="AJ35" s="76" t="s">
        <v>41</v>
      </c>
    </row>
    <row r="36" spans="1:36" x14ac:dyDescent="0.3">
      <c r="A36" s="76" t="s">
        <v>268</v>
      </c>
      <c r="B36" s="76" t="s">
        <v>23</v>
      </c>
      <c r="C36" s="76" t="s">
        <v>23</v>
      </c>
      <c r="D36" s="76" t="s">
        <v>23</v>
      </c>
      <c r="E36" s="76" t="s">
        <v>23</v>
      </c>
      <c r="F36" s="76" t="s">
        <v>23</v>
      </c>
      <c r="G36" s="76" t="s">
        <v>23</v>
      </c>
      <c r="H36" s="76" t="s">
        <v>23</v>
      </c>
      <c r="I36" s="76" t="s">
        <v>23</v>
      </c>
      <c r="J36" s="76" t="s">
        <v>23</v>
      </c>
      <c r="K36" s="76" t="s">
        <v>23</v>
      </c>
      <c r="L36" s="76" t="s">
        <v>23</v>
      </c>
      <c r="M36" s="76" t="s">
        <v>23</v>
      </c>
      <c r="N36" s="76" t="s">
        <v>23</v>
      </c>
      <c r="O36" s="76" t="s">
        <v>23</v>
      </c>
      <c r="P36" s="76" t="s">
        <v>23</v>
      </c>
      <c r="Q36" s="76" t="s">
        <v>23</v>
      </c>
      <c r="R36" s="76" t="s">
        <v>23</v>
      </c>
      <c r="S36" s="76" t="s">
        <v>23</v>
      </c>
      <c r="T36" s="76" t="s">
        <v>23</v>
      </c>
      <c r="U36" s="76" t="s">
        <v>23</v>
      </c>
      <c r="V36" s="76" t="s">
        <v>23</v>
      </c>
      <c r="W36" s="76" t="s">
        <v>23</v>
      </c>
      <c r="X36" s="76" t="s">
        <v>23</v>
      </c>
      <c r="Y36" s="76" t="s">
        <v>23</v>
      </c>
      <c r="Z36" s="76" t="s">
        <v>23</v>
      </c>
      <c r="AA36" s="76" t="s">
        <v>23</v>
      </c>
      <c r="AB36" s="76" t="s">
        <v>23</v>
      </c>
      <c r="AC36" s="76" t="s">
        <v>23</v>
      </c>
      <c r="AD36" s="76" t="s">
        <v>23</v>
      </c>
      <c r="AE36" s="76" t="s">
        <v>23</v>
      </c>
      <c r="AF36" s="20" t="e">
        <f t="shared" si="1"/>
        <v>#DIV/0!</v>
      </c>
      <c r="AG36" s="76">
        <f t="shared" si="0"/>
        <v>0</v>
      </c>
      <c r="AH36" s="76" t="str">
        <f>IFERROR(VLOOKUP(AJ36,Area_CLCL!$A$5:$E$51,5),"")</f>
        <v/>
      </c>
      <c r="AI36" s="76" t="str">
        <f t="shared" ca="1" si="2"/>
        <v/>
      </c>
      <c r="AJ36" s="76"/>
    </row>
    <row r="37" spans="1:36" x14ac:dyDescent="0.3">
      <c r="A37" s="76" t="s">
        <v>269</v>
      </c>
      <c r="B37" s="76" t="s">
        <v>50</v>
      </c>
      <c r="C37" s="76" t="s">
        <v>50</v>
      </c>
      <c r="D37" s="76" t="s">
        <v>50</v>
      </c>
      <c r="E37" s="76" t="s">
        <v>50</v>
      </c>
      <c r="F37" s="76" t="s">
        <v>50</v>
      </c>
      <c r="G37" s="76" t="s">
        <v>50</v>
      </c>
      <c r="H37" s="76" t="s">
        <v>50</v>
      </c>
      <c r="I37" s="76" t="s">
        <v>50</v>
      </c>
      <c r="J37" s="76" t="s">
        <v>50</v>
      </c>
      <c r="K37" s="76" t="s">
        <v>50</v>
      </c>
      <c r="L37" s="76" t="s">
        <v>50</v>
      </c>
      <c r="M37" s="76" t="s">
        <v>50</v>
      </c>
      <c r="N37" s="76" t="s">
        <v>50</v>
      </c>
      <c r="O37" s="76" t="s">
        <v>50</v>
      </c>
      <c r="P37" s="76" t="s">
        <v>50</v>
      </c>
      <c r="Q37" s="76" t="s">
        <v>50</v>
      </c>
      <c r="R37" s="76" t="s">
        <v>50</v>
      </c>
      <c r="S37" s="76" t="s">
        <v>50</v>
      </c>
      <c r="T37" s="76" t="s">
        <v>50</v>
      </c>
      <c r="U37" s="76" t="s">
        <v>50</v>
      </c>
      <c r="V37" s="76" t="s">
        <v>50</v>
      </c>
      <c r="W37" s="76" t="s">
        <v>50</v>
      </c>
      <c r="X37" s="76" t="s">
        <v>50</v>
      </c>
      <c r="Y37" s="76" t="s">
        <v>50</v>
      </c>
      <c r="Z37" s="76" t="s">
        <v>50</v>
      </c>
      <c r="AA37" s="76" t="s">
        <v>50</v>
      </c>
      <c r="AB37" s="76" t="s">
        <v>50</v>
      </c>
      <c r="AC37" s="76" t="s">
        <v>50</v>
      </c>
      <c r="AD37" s="76" t="s">
        <v>50</v>
      </c>
      <c r="AE37" s="76" t="s">
        <v>50</v>
      </c>
      <c r="AF37" s="20" t="e">
        <f t="shared" si="1"/>
        <v>#DIV/0!</v>
      </c>
      <c r="AG37" s="76">
        <f t="shared" si="0"/>
        <v>0</v>
      </c>
      <c r="AH37" s="76">
        <f>IFERROR(VLOOKUP(AJ37,Area_CLCL!$A$5:$E$51,5),"")</f>
        <v>1</v>
      </c>
      <c r="AI37" s="76">
        <f t="shared" ca="1" si="2"/>
        <v>1798.595685345289</v>
      </c>
      <c r="AJ37" s="76" t="s">
        <v>271</v>
      </c>
    </row>
    <row r="38" spans="1:36" x14ac:dyDescent="0.3">
      <c r="A38" s="76" t="s">
        <v>272</v>
      </c>
      <c r="B38" s="76" t="s">
        <v>23</v>
      </c>
      <c r="C38" s="76" t="s">
        <v>23</v>
      </c>
      <c r="D38" s="76" t="s">
        <v>23</v>
      </c>
      <c r="E38" s="76" t="s">
        <v>23</v>
      </c>
      <c r="F38" s="76" t="s">
        <v>23</v>
      </c>
      <c r="G38" s="76" t="s">
        <v>23</v>
      </c>
      <c r="H38" s="76" t="s">
        <v>23</v>
      </c>
      <c r="I38" s="76" t="s">
        <v>23</v>
      </c>
      <c r="J38" s="76" t="s">
        <v>23</v>
      </c>
      <c r="K38" s="76" t="s">
        <v>23</v>
      </c>
      <c r="L38" s="76" t="s">
        <v>23</v>
      </c>
      <c r="M38" s="76" t="s">
        <v>23</v>
      </c>
      <c r="N38" s="76" t="s">
        <v>23</v>
      </c>
      <c r="O38" s="76" t="s">
        <v>23</v>
      </c>
      <c r="P38" s="76" t="s">
        <v>23</v>
      </c>
      <c r="Q38" s="76" t="s">
        <v>23</v>
      </c>
      <c r="R38" s="76" t="s">
        <v>23</v>
      </c>
      <c r="S38" s="76" t="s">
        <v>23</v>
      </c>
      <c r="T38" s="76" t="s">
        <v>23</v>
      </c>
      <c r="U38" s="76" t="s">
        <v>23</v>
      </c>
      <c r="V38" s="76" t="s">
        <v>23</v>
      </c>
      <c r="W38" s="76" t="s">
        <v>23</v>
      </c>
      <c r="X38" s="76" t="s">
        <v>23</v>
      </c>
      <c r="Y38" s="76" t="s">
        <v>23</v>
      </c>
      <c r="Z38" s="76" t="s">
        <v>23</v>
      </c>
      <c r="AA38" s="76" t="s">
        <v>23</v>
      </c>
      <c r="AB38" s="76" t="s">
        <v>23</v>
      </c>
      <c r="AC38" s="76" t="s">
        <v>23</v>
      </c>
      <c r="AD38" s="76" t="s">
        <v>23</v>
      </c>
      <c r="AE38" s="76" t="s">
        <v>23</v>
      </c>
      <c r="AF38" s="20" t="e">
        <f t="shared" si="1"/>
        <v>#DIV/0!</v>
      </c>
      <c r="AG38" s="76">
        <f t="shared" si="0"/>
        <v>0</v>
      </c>
      <c r="AH38" s="76">
        <f>IFERROR(VLOOKUP(AJ38,Area_CLCL!$A$5:$E$51,5),"")</f>
        <v>1</v>
      </c>
      <c r="AI38" s="76">
        <f t="shared" ca="1" si="2"/>
        <v>93.491736411930219</v>
      </c>
      <c r="AJ38" s="76" t="s">
        <v>43</v>
      </c>
    </row>
    <row r="39" spans="1:36" x14ac:dyDescent="0.3">
      <c r="A39" s="76" t="s">
        <v>273</v>
      </c>
      <c r="B39" s="76" t="s">
        <v>52</v>
      </c>
      <c r="C39" s="76" t="s">
        <v>52</v>
      </c>
      <c r="D39" s="76" t="s">
        <v>52</v>
      </c>
      <c r="E39" s="76" t="s">
        <v>52</v>
      </c>
      <c r="F39" s="76" t="s">
        <v>52</v>
      </c>
      <c r="G39" s="76" t="s">
        <v>52</v>
      </c>
      <c r="H39" s="76" t="s">
        <v>52</v>
      </c>
      <c r="I39" s="76" t="s">
        <v>52</v>
      </c>
      <c r="J39" s="76" t="s">
        <v>52</v>
      </c>
      <c r="K39" s="76" t="s">
        <v>52</v>
      </c>
      <c r="L39" s="76" t="s">
        <v>52</v>
      </c>
      <c r="M39" s="76" t="s">
        <v>52</v>
      </c>
      <c r="N39" s="76" t="s">
        <v>52</v>
      </c>
      <c r="O39" s="76" t="s">
        <v>52</v>
      </c>
      <c r="P39" s="76" t="s">
        <v>52</v>
      </c>
      <c r="Q39" s="76" t="s">
        <v>52</v>
      </c>
      <c r="R39" s="76" t="s">
        <v>52</v>
      </c>
      <c r="S39" s="76" t="s">
        <v>52</v>
      </c>
      <c r="T39" s="76" t="s">
        <v>52</v>
      </c>
      <c r="U39" s="76" t="s">
        <v>52</v>
      </c>
      <c r="V39" s="76" t="s">
        <v>52</v>
      </c>
      <c r="W39" s="76" t="s">
        <v>52</v>
      </c>
      <c r="X39" s="76" t="s">
        <v>52</v>
      </c>
      <c r="Y39" s="76" t="s">
        <v>52</v>
      </c>
      <c r="Z39" s="76" t="s">
        <v>52</v>
      </c>
      <c r="AA39" s="76" t="s">
        <v>52</v>
      </c>
      <c r="AB39" s="76" t="s">
        <v>52</v>
      </c>
      <c r="AC39" s="76" t="s">
        <v>52</v>
      </c>
      <c r="AD39" s="76" t="s">
        <v>52</v>
      </c>
      <c r="AE39" s="76" t="s">
        <v>52</v>
      </c>
      <c r="AF39" s="20" t="e">
        <f t="shared" si="1"/>
        <v>#DIV/0!</v>
      </c>
      <c r="AG39" s="76">
        <f t="shared" si="0"/>
        <v>0</v>
      </c>
      <c r="AH39" s="76">
        <f>IFERROR(VLOOKUP(AJ39,Area_CLCL!$A$5:$E$51,5),"")</f>
        <v>1</v>
      </c>
      <c r="AI39" s="76">
        <f t="shared" ca="1" si="2"/>
        <v>7.1999999999999995E-2</v>
      </c>
      <c r="AJ39" s="76" t="s">
        <v>44</v>
      </c>
    </row>
    <row r="40" spans="1:36" x14ac:dyDescent="0.3">
      <c r="A40" s="76" t="s">
        <v>274</v>
      </c>
      <c r="B40" s="76" t="s">
        <v>23</v>
      </c>
      <c r="C40" s="76" t="s">
        <v>23</v>
      </c>
      <c r="D40" s="76" t="s">
        <v>23</v>
      </c>
      <c r="E40" s="76" t="s">
        <v>23</v>
      </c>
      <c r="F40" s="76" t="s">
        <v>23</v>
      </c>
      <c r="G40" s="76" t="s">
        <v>23</v>
      </c>
      <c r="H40" s="76" t="s">
        <v>23</v>
      </c>
      <c r="I40" s="76" t="s">
        <v>23</v>
      </c>
      <c r="J40" s="76" t="s">
        <v>23</v>
      </c>
      <c r="K40" s="76" t="s">
        <v>23</v>
      </c>
      <c r="L40" s="76" t="s">
        <v>23</v>
      </c>
      <c r="M40" s="76" t="s">
        <v>23</v>
      </c>
      <c r="N40" s="76" t="s">
        <v>23</v>
      </c>
      <c r="O40" s="76" t="s">
        <v>23</v>
      </c>
      <c r="P40" s="76" t="s">
        <v>23</v>
      </c>
      <c r="Q40" s="76" t="s">
        <v>23</v>
      </c>
      <c r="R40" s="76" t="s">
        <v>23</v>
      </c>
      <c r="S40" s="76" t="s">
        <v>23</v>
      </c>
      <c r="T40" s="76" t="s">
        <v>23</v>
      </c>
      <c r="U40" s="76" t="s">
        <v>23</v>
      </c>
      <c r="V40" s="76" t="s">
        <v>23</v>
      </c>
      <c r="W40" s="76" t="s">
        <v>23</v>
      </c>
      <c r="X40" s="76" t="s">
        <v>23</v>
      </c>
      <c r="Y40" s="76" t="s">
        <v>23</v>
      </c>
      <c r="Z40" s="76" t="s">
        <v>23</v>
      </c>
      <c r="AA40" s="76" t="s">
        <v>23</v>
      </c>
      <c r="AB40" s="76" t="s">
        <v>23</v>
      </c>
      <c r="AC40" s="76" t="s">
        <v>23</v>
      </c>
      <c r="AD40" s="76" t="s">
        <v>23</v>
      </c>
      <c r="AE40" s="76" t="s">
        <v>23</v>
      </c>
      <c r="AF40" s="20" t="e">
        <f t="shared" si="1"/>
        <v>#DIV/0!</v>
      </c>
      <c r="AG40" s="76">
        <f t="shared" si="0"/>
        <v>0</v>
      </c>
      <c r="AH40" s="76" t="str">
        <f>IFERROR(VLOOKUP(AJ40,Area_CLCL!$A$5:$E$51,5),"")</f>
        <v/>
      </c>
      <c r="AI40" s="76" t="str">
        <f t="shared" ca="1" si="2"/>
        <v/>
      </c>
      <c r="AJ40" s="76"/>
    </row>
    <row r="41" spans="1:36" x14ac:dyDescent="0.3">
      <c r="A41" s="76" t="s">
        <v>275</v>
      </c>
      <c r="B41" s="76" t="s">
        <v>52</v>
      </c>
      <c r="C41" s="76" t="s">
        <v>52</v>
      </c>
      <c r="D41" s="76" t="s">
        <v>52</v>
      </c>
      <c r="E41" s="76" t="s">
        <v>52</v>
      </c>
      <c r="F41" s="76" t="s">
        <v>52</v>
      </c>
      <c r="G41" s="76" t="s">
        <v>52</v>
      </c>
      <c r="H41" s="76" t="s">
        <v>52</v>
      </c>
      <c r="I41" s="76" t="s">
        <v>52</v>
      </c>
      <c r="J41" s="76" t="s">
        <v>52</v>
      </c>
      <c r="K41" s="76" t="s">
        <v>52</v>
      </c>
      <c r="L41" s="76" t="s">
        <v>52</v>
      </c>
      <c r="M41" s="76" t="s">
        <v>52</v>
      </c>
      <c r="N41" s="76" t="s">
        <v>52</v>
      </c>
      <c r="O41" s="76" t="s">
        <v>52</v>
      </c>
      <c r="P41" s="76" t="s">
        <v>52</v>
      </c>
      <c r="Q41" s="76" t="s">
        <v>52</v>
      </c>
      <c r="R41" s="76" t="s">
        <v>52</v>
      </c>
      <c r="S41" s="76" t="s">
        <v>52</v>
      </c>
      <c r="T41" s="76" t="s">
        <v>52</v>
      </c>
      <c r="U41" s="76" t="s">
        <v>52</v>
      </c>
      <c r="V41" s="76" t="s">
        <v>52</v>
      </c>
      <c r="W41" s="76" t="s">
        <v>52</v>
      </c>
      <c r="X41" s="76" t="s">
        <v>52</v>
      </c>
      <c r="Y41" s="76" t="s">
        <v>52</v>
      </c>
      <c r="Z41" s="76" t="s">
        <v>52</v>
      </c>
      <c r="AA41" s="76" t="s">
        <v>52</v>
      </c>
      <c r="AB41" s="76" t="s">
        <v>52</v>
      </c>
      <c r="AC41" s="76" t="s">
        <v>52</v>
      </c>
      <c r="AD41" s="76" t="s">
        <v>52</v>
      </c>
      <c r="AE41" s="76" t="s">
        <v>52</v>
      </c>
      <c r="AF41" s="20" t="e">
        <f t="shared" si="1"/>
        <v>#DIV/0!</v>
      </c>
      <c r="AG41" s="76">
        <f t="shared" si="0"/>
        <v>0</v>
      </c>
      <c r="AH41" s="76">
        <f>IFERROR(VLOOKUP(AJ41,Area_CLCL!$A$5:$E$51,5),"")</f>
        <v>1</v>
      </c>
      <c r="AI41" s="76">
        <f t="shared" ca="1" si="2"/>
        <v>304.52413200000001</v>
      </c>
      <c r="AJ41" s="76" t="s">
        <v>45</v>
      </c>
    </row>
    <row r="42" spans="1:36" x14ac:dyDescent="0.3">
      <c r="A42" s="76" t="s">
        <v>276</v>
      </c>
      <c r="B42" s="74">
        <v>1.6943134646000001E-4</v>
      </c>
      <c r="C42" s="74">
        <v>1.6943134646000001E-4</v>
      </c>
      <c r="D42" s="74">
        <v>1.3905881712000001E-4</v>
      </c>
      <c r="E42" s="74">
        <v>1.0407642022E-4</v>
      </c>
      <c r="F42" s="74">
        <v>6.5788787760000001E-5</v>
      </c>
      <c r="G42" s="74">
        <v>2.5864902559999999E-5</v>
      </c>
      <c r="H42" s="74">
        <v>2.611891863E-5</v>
      </c>
      <c r="I42" s="74">
        <v>2.6317486980000001E-5</v>
      </c>
      <c r="J42" s="74">
        <v>2.6512268419999999E-5</v>
      </c>
      <c r="K42" s="74">
        <v>2.6736770399999999E-5</v>
      </c>
      <c r="L42" s="74">
        <v>2.6893744880000002E-5</v>
      </c>
      <c r="M42" s="74">
        <v>2.7138174690000001E-5</v>
      </c>
      <c r="N42" s="74">
        <v>2.7361434129999999E-5</v>
      </c>
      <c r="O42" s="74">
        <v>2.7443563709999999E-5</v>
      </c>
      <c r="P42" s="74">
        <v>2.7421526229999999E-5</v>
      </c>
      <c r="Q42" s="74">
        <v>2.7383726889999999E-5</v>
      </c>
      <c r="R42" s="74">
        <v>2.7370584169999998E-5</v>
      </c>
      <c r="S42" s="74">
        <v>2.752742566E-5</v>
      </c>
      <c r="T42" s="74">
        <v>2.7901236230000001E-5</v>
      </c>
      <c r="U42" s="74">
        <v>2.6541029739999999E-5</v>
      </c>
      <c r="V42" s="74">
        <v>2.5870243799999999E-5</v>
      </c>
      <c r="W42" s="74">
        <v>2.444130979E-5</v>
      </c>
      <c r="X42" s="74">
        <v>2.3077389520000001E-5</v>
      </c>
      <c r="Y42" s="74">
        <v>2.1708640649999999E-5</v>
      </c>
      <c r="Z42" s="74">
        <v>2.0200242149999999E-5</v>
      </c>
      <c r="AA42" s="74">
        <v>1.8729439950000001E-5</v>
      </c>
      <c r="AB42" s="74">
        <v>1.729612906E-5</v>
      </c>
      <c r="AC42" s="74">
        <v>1.5918878590000001E-5</v>
      </c>
      <c r="AD42" s="74">
        <v>1.451342535E-5</v>
      </c>
      <c r="AE42" s="74">
        <v>1.313533885E-5</v>
      </c>
      <c r="AF42" s="20">
        <f t="shared" si="1"/>
        <v>0.99161978951919527</v>
      </c>
      <c r="AG42" s="76">
        <f t="shared" si="0"/>
        <v>3.6853351242084897E-5</v>
      </c>
      <c r="AH42" s="76" t="str">
        <f>IFERROR(VLOOKUP(AJ42,Area_CLCL!$A$5:$E$51,5),"")</f>
        <v/>
      </c>
      <c r="AI42" s="76" t="str">
        <f t="shared" ca="1" si="2"/>
        <v/>
      </c>
      <c r="AJ42" s="76"/>
    </row>
    <row r="43" spans="1:36" x14ac:dyDescent="0.3">
      <c r="A43" s="76" t="s">
        <v>277</v>
      </c>
      <c r="B43" s="74">
        <v>1.1948637382800001E-3</v>
      </c>
      <c r="C43" s="74">
        <v>1.1948637382800001E-3</v>
      </c>
      <c r="D43" s="74">
        <v>1.1952806728799999E-3</v>
      </c>
      <c r="E43" s="74">
        <v>1.1956978975200001E-3</v>
      </c>
      <c r="F43" s="74">
        <v>1.1961154145700001E-3</v>
      </c>
      <c r="G43" s="74">
        <v>1.19653322226E-3</v>
      </c>
      <c r="H43" s="74">
        <v>1.4220072762100001E-3</v>
      </c>
      <c r="I43" s="74">
        <v>1.52608213375E-3</v>
      </c>
      <c r="J43" s="74">
        <v>1.86553396656E-3</v>
      </c>
      <c r="K43" s="74">
        <v>2.07161179409E-3</v>
      </c>
      <c r="L43" s="74">
        <v>2.2210253153399999E-3</v>
      </c>
      <c r="M43" s="74">
        <v>2.3785720822700001E-3</v>
      </c>
      <c r="N43" s="74">
        <v>2.6367645661600002E-3</v>
      </c>
      <c r="O43" s="74">
        <v>2.7191163648399999E-3</v>
      </c>
      <c r="P43" s="74">
        <v>2.8638940114800002E-3</v>
      </c>
      <c r="Q43" s="74">
        <v>3.0586569863899999E-3</v>
      </c>
      <c r="R43" s="74">
        <v>3.27597171247E-3</v>
      </c>
      <c r="S43" s="74">
        <v>3.3286292499E-3</v>
      </c>
      <c r="T43" s="74">
        <v>3.2408333829199998E-3</v>
      </c>
      <c r="U43" s="74">
        <v>3.3745723552500002E-3</v>
      </c>
      <c r="V43" s="74">
        <v>3.4384481211600002E-3</v>
      </c>
      <c r="W43" s="74">
        <v>3.34580018163E-3</v>
      </c>
      <c r="X43" s="74">
        <v>3.5227015156500002E-3</v>
      </c>
      <c r="Y43" s="74">
        <v>3.7695241250000002E-3</v>
      </c>
      <c r="Z43" s="74">
        <v>3.7590719444199998E-3</v>
      </c>
      <c r="AA43" s="74">
        <v>3.9009494200600001E-3</v>
      </c>
      <c r="AB43" s="74">
        <v>3.9491001854200002E-3</v>
      </c>
      <c r="AC43" s="74">
        <v>3.8619567153800002E-3</v>
      </c>
      <c r="AD43" s="74">
        <v>3.7395360667299999E-3</v>
      </c>
      <c r="AE43" s="74">
        <v>3.74549947275E-3</v>
      </c>
      <c r="AF43" s="20">
        <f t="shared" si="1"/>
        <v>0.36579287043095449</v>
      </c>
      <c r="AG43" s="76">
        <f t="shared" si="0"/>
        <v>9.9639896533035917E-4</v>
      </c>
      <c r="AH43" s="76" t="str">
        <f>IFERROR(VLOOKUP(AJ43,Area_CLCL!$A$5:$E$51,5),"")</f>
        <v/>
      </c>
      <c r="AI43" s="76" t="str">
        <f t="shared" ca="1" si="2"/>
        <v/>
      </c>
      <c r="AJ43" s="76"/>
    </row>
    <row r="44" spans="1:36" x14ac:dyDescent="0.3">
      <c r="A44" s="76" t="s">
        <v>278</v>
      </c>
      <c r="B44" s="74">
        <v>3.8145365179460003E-2</v>
      </c>
      <c r="C44" s="74">
        <v>5.1342848758289997E-2</v>
      </c>
      <c r="D44" s="74">
        <v>5.0558571031960001E-2</v>
      </c>
      <c r="E44" s="74">
        <v>5.1304358874999997E-2</v>
      </c>
      <c r="F44" s="74">
        <v>4.751739285177E-2</v>
      </c>
      <c r="G44" s="74">
        <v>4.8378880982559998E-2</v>
      </c>
      <c r="H44" s="74">
        <v>4.907921749441E-2</v>
      </c>
      <c r="I44" s="74">
        <v>4.9769199770039997E-2</v>
      </c>
      <c r="J44" s="74">
        <v>5.4698314176789997E-2</v>
      </c>
      <c r="K44" s="74">
        <v>6.5455684706639997E-2</v>
      </c>
      <c r="L44" s="74">
        <v>6.5859510838919999E-2</v>
      </c>
      <c r="M44" s="74">
        <v>6.9577905389110004E-2</v>
      </c>
      <c r="N44" s="74">
        <v>7.5032633284920006E-2</v>
      </c>
      <c r="O44" s="74">
        <v>8.0730823974100002E-2</v>
      </c>
      <c r="P44" s="74">
        <v>9.1244158955629998E-2</v>
      </c>
      <c r="Q44" s="74">
        <v>9.6629004499250007E-2</v>
      </c>
      <c r="R44" s="74">
        <v>0.1044953608637</v>
      </c>
      <c r="S44" s="74">
        <v>0.10938218471824</v>
      </c>
      <c r="T44" s="74">
        <v>0.10977612622701</v>
      </c>
      <c r="U44" s="74">
        <v>0.11530147144829</v>
      </c>
      <c r="V44" s="74">
        <v>0.1079541477534</v>
      </c>
      <c r="W44" s="74">
        <v>0.11686042317411</v>
      </c>
      <c r="X44" s="74">
        <v>0.11233772380626</v>
      </c>
      <c r="Y44" s="74">
        <v>0.11655854894023</v>
      </c>
      <c r="Z44" s="74">
        <v>0.11828655157333</v>
      </c>
      <c r="AA44" s="74">
        <v>0.11920483872632</v>
      </c>
      <c r="AB44" s="74">
        <v>0.11901975957946</v>
      </c>
      <c r="AC44" s="74">
        <v>0.11189209464207001</v>
      </c>
      <c r="AD44" s="74">
        <v>0.10013426300430001</v>
      </c>
      <c r="AE44" s="74">
        <v>9.7522554452020002E-2</v>
      </c>
      <c r="AF44" s="20">
        <f t="shared" si="1"/>
        <v>0.3184862740250794</v>
      </c>
      <c r="AG44" s="76">
        <f t="shared" si="0"/>
        <v>2.7520558780158133E-2</v>
      </c>
      <c r="AH44" s="76">
        <f>IFERROR(VLOOKUP(AJ44,Area_CLCL!$A$5:$E$51,5),"")</f>
        <v>1</v>
      </c>
      <c r="AI44" s="76">
        <f t="shared" ca="1" si="2"/>
        <v>8533.55746</v>
      </c>
      <c r="AJ44" s="76" t="s">
        <v>46</v>
      </c>
    </row>
    <row r="45" spans="1:36" x14ac:dyDescent="0.3">
      <c r="A45" s="76" t="s">
        <v>279</v>
      </c>
      <c r="B45" s="74">
        <v>1.5499855102799999E-2</v>
      </c>
      <c r="C45" s="74">
        <v>1.5499855102799999E-2</v>
      </c>
      <c r="D45" s="74">
        <v>1.6112001376099999E-2</v>
      </c>
      <c r="E45" s="74">
        <v>1.6733907992080001E-2</v>
      </c>
      <c r="F45" s="74">
        <v>1.7365815705789999E-2</v>
      </c>
      <c r="G45" s="74">
        <v>1.6753790439079999E-2</v>
      </c>
      <c r="H45" s="74">
        <v>1.537312796349E-2</v>
      </c>
      <c r="I45" s="74">
        <v>1.3928102685949999E-2</v>
      </c>
      <c r="J45" s="74">
        <v>1.2511958882229999E-2</v>
      </c>
      <c r="K45" s="74">
        <v>1.107331458868E-2</v>
      </c>
      <c r="L45" s="74">
        <v>9.7949944342199998E-3</v>
      </c>
      <c r="M45" s="74">
        <v>8.8956928937900005E-3</v>
      </c>
      <c r="N45" s="74">
        <v>7.6906475063400004E-3</v>
      </c>
      <c r="O45" s="74">
        <v>6.5089331334499999E-3</v>
      </c>
      <c r="P45" s="74">
        <v>5.5666435427599997E-3</v>
      </c>
      <c r="Q45" s="74">
        <v>5.05893825589E-3</v>
      </c>
      <c r="R45" s="74">
        <v>5.0474113852100001E-3</v>
      </c>
      <c r="S45" s="74">
        <v>5.59640900712E-3</v>
      </c>
      <c r="T45" s="74">
        <v>6.22236170185E-3</v>
      </c>
      <c r="U45" s="74">
        <v>7.3967135915199997E-3</v>
      </c>
      <c r="V45" s="74">
        <v>8.01126760005E-3</v>
      </c>
      <c r="W45" s="74">
        <v>8.1049691422199997E-3</v>
      </c>
      <c r="X45" s="74">
        <v>7.1837397347699998E-3</v>
      </c>
      <c r="Y45" s="74">
        <v>6.2587021574499998E-3</v>
      </c>
      <c r="Z45" s="74">
        <v>5.1284244234500002E-3</v>
      </c>
      <c r="AA45" s="74">
        <v>3.6162109555700002E-3</v>
      </c>
      <c r="AB45" s="74">
        <v>2.6317459010199999E-3</v>
      </c>
      <c r="AC45" s="74">
        <v>1.1422536134800001E-3</v>
      </c>
      <c r="AD45" s="74">
        <v>-5.6333939394999995E-4</v>
      </c>
      <c r="AE45" s="74">
        <v>-2.7151410575699999E-3</v>
      </c>
      <c r="AF45" s="20">
        <f t="shared" si="1"/>
        <v>0.64579118448680528</v>
      </c>
      <c r="AG45" s="76">
        <f t="shared" si="0"/>
        <v>5.3874451098671105E-3</v>
      </c>
      <c r="AH45" s="76">
        <f>IFERROR(VLOOKUP(AJ45,Area_CLCL!$A$5:$E$51,5),"")</f>
        <v>1</v>
      </c>
      <c r="AI45" s="76">
        <f t="shared" ca="1" si="2"/>
        <v>4046.3620000000001</v>
      </c>
      <c r="AJ45" s="76" t="s">
        <v>48</v>
      </c>
    </row>
    <row r="46" spans="1:36" x14ac:dyDescent="0.3">
      <c r="A46" s="76" t="s">
        <v>280</v>
      </c>
      <c r="B46" s="76" t="s">
        <v>23</v>
      </c>
      <c r="C46" s="76" t="s">
        <v>23</v>
      </c>
      <c r="D46" s="76" t="s">
        <v>23</v>
      </c>
      <c r="E46" s="76" t="s">
        <v>23</v>
      </c>
      <c r="F46" s="76" t="s">
        <v>23</v>
      </c>
      <c r="G46" s="76" t="s">
        <v>23</v>
      </c>
      <c r="H46" s="76" t="s">
        <v>23</v>
      </c>
      <c r="I46" s="76" t="s">
        <v>23</v>
      </c>
      <c r="J46" s="76" t="s">
        <v>23</v>
      </c>
      <c r="K46" s="76" t="s">
        <v>23</v>
      </c>
      <c r="L46" s="76" t="s">
        <v>23</v>
      </c>
      <c r="M46" s="76" t="s">
        <v>23</v>
      </c>
      <c r="N46" s="76" t="s">
        <v>23</v>
      </c>
      <c r="O46" s="76" t="s">
        <v>23</v>
      </c>
      <c r="P46" s="76" t="s">
        <v>23</v>
      </c>
      <c r="Q46" s="76" t="s">
        <v>23</v>
      </c>
      <c r="R46" s="76" t="s">
        <v>23</v>
      </c>
      <c r="S46" s="76" t="s">
        <v>23</v>
      </c>
      <c r="T46" s="76" t="s">
        <v>23</v>
      </c>
      <c r="U46" s="76" t="s">
        <v>23</v>
      </c>
      <c r="V46" s="76" t="s">
        <v>23</v>
      </c>
      <c r="W46" s="76" t="s">
        <v>23</v>
      </c>
      <c r="X46" s="76" t="s">
        <v>23</v>
      </c>
      <c r="Y46" s="76" t="s">
        <v>23</v>
      </c>
      <c r="Z46" s="76" t="s">
        <v>23</v>
      </c>
      <c r="AA46" s="76" t="s">
        <v>23</v>
      </c>
      <c r="AB46" s="76" t="s">
        <v>23</v>
      </c>
      <c r="AC46" s="76" t="s">
        <v>23</v>
      </c>
      <c r="AD46" s="76" t="s">
        <v>23</v>
      </c>
      <c r="AE46" s="76" t="s">
        <v>23</v>
      </c>
      <c r="AF46" s="20" t="e">
        <f t="shared" si="1"/>
        <v>#DIV/0!</v>
      </c>
      <c r="AG46" s="76">
        <f t="shared" si="0"/>
        <v>0</v>
      </c>
      <c r="AH46" s="76">
        <f>IFERROR(VLOOKUP(AJ46,Area_CLCL!$A$5:$E$51,5),"")</f>
        <v>1</v>
      </c>
      <c r="AI46" s="76">
        <f t="shared" ca="1" si="2"/>
        <v>6920.8843513000002</v>
      </c>
      <c r="AJ46" s="76" t="s">
        <v>49</v>
      </c>
    </row>
    <row r="47" spans="1:36" x14ac:dyDescent="0.3">
      <c r="A47" s="76" t="s">
        <v>281</v>
      </c>
      <c r="B47" s="74">
        <v>7.7758022984900001E-3</v>
      </c>
      <c r="C47" s="74">
        <v>7.7758022984900001E-3</v>
      </c>
      <c r="D47" s="74">
        <v>8.1073054547599992E-3</v>
      </c>
      <c r="E47" s="74">
        <v>8.4354497463000003E-3</v>
      </c>
      <c r="F47" s="74">
        <v>8.7594877059400007E-3</v>
      </c>
      <c r="G47" s="74">
        <v>1.189286513839E-2</v>
      </c>
      <c r="H47" s="74">
        <v>1.5025345539549999E-2</v>
      </c>
      <c r="I47" s="74">
        <v>1.8156342304579999E-2</v>
      </c>
      <c r="J47" s="74">
        <v>2.128521205512E-2</v>
      </c>
      <c r="K47" s="74">
        <v>2.474528590952E-2</v>
      </c>
      <c r="L47" s="74">
        <v>2.4703359147239999E-2</v>
      </c>
      <c r="M47" s="74">
        <v>2.6513693308059999E-2</v>
      </c>
      <c r="N47" s="74">
        <v>2.6426194464919998E-2</v>
      </c>
      <c r="O47" s="74">
        <v>2.6570926782609999E-2</v>
      </c>
      <c r="P47" s="74">
        <v>2.617750919431E-2</v>
      </c>
      <c r="Q47" s="74">
        <v>2.550870957997E-2</v>
      </c>
      <c r="R47" s="74">
        <v>2.6021782877100001E-2</v>
      </c>
      <c r="S47" s="74">
        <v>2.67423921168E-2</v>
      </c>
      <c r="T47" s="74">
        <v>2.6461809528880002E-2</v>
      </c>
      <c r="U47" s="74">
        <v>2.908962818316E-2</v>
      </c>
      <c r="V47" s="74">
        <v>3.048596836409E-2</v>
      </c>
      <c r="W47" s="74">
        <v>3.051647904295E-2</v>
      </c>
      <c r="X47" s="74">
        <v>3.0343209848529999E-2</v>
      </c>
      <c r="Y47" s="74">
        <v>2.9972808276999999E-2</v>
      </c>
      <c r="Z47" s="74">
        <v>2.906152066217E-2</v>
      </c>
      <c r="AA47" s="74">
        <v>2.8497824752570001E-2</v>
      </c>
      <c r="AB47" s="74">
        <v>2.8400255047509999E-2</v>
      </c>
      <c r="AC47" s="74">
        <v>2.8531439940780001E-2</v>
      </c>
      <c r="AD47" s="74">
        <v>2.8134293393419999E-2</v>
      </c>
      <c r="AE47" s="74">
        <v>2.7891715155959999E-2</v>
      </c>
      <c r="AF47" s="20">
        <f t="shared" si="1"/>
        <v>0.32219855734845093</v>
      </c>
      <c r="AG47" s="76">
        <f t="shared" si="0"/>
        <v>7.5576073060655479E-3</v>
      </c>
      <c r="AH47" s="76" t="str">
        <f>IFERROR(VLOOKUP(AJ47,Area_CLCL!$A$5:$E$51,5),"")</f>
        <v/>
      </c>
      <c r="AI47" s="76" t="str">
        <f t="shared" ca="1" si="2"/>
        <v/>
      </c>
      <c r="AJ47" s="76"/>
    </row>
    <row r="48" spans="1:36" x14ac:dyDescent="0.3">
      <c r="A48" s="76" t="s">
        <v>282</v>
      </c>
      <c r="B48" s="76" t="s">
        <v>52</v>
      </c>
      <c r="C48" s="76" t="s">
        <v>52</v>
      </c>
      <c r="D48" s="76" t="s">
        <v>52</v>
      </c>
      <c r="E48" s="76" t="s">
        <v>52</v>
      </c>
      <c r="F48" s="76" t="s">
        <v>52</v>
      </c>
      <c r="G48" s="76" t="s">
        <v>52</v>
      </c>
      <c r="H48" s="76" t="s">
        <v>52</v>
      </c>
      <c r="I48" s="76" t="s">
        <v>52</v>
      </c>
      <c r="J48" s="76" t="s">
        <v>52</v>
      </c>
      <c r="K48" s="76" t="s">
        <v>52</v>
      </c>
      <c r="L48" s="76" t="s">
        <v>52</v>
      </c>
      <c r="M48" s="76" t="s">
        <v>52</v>
      </c>
      <c r="N48" s="76" t="s">
        <v>52</v>
      </c>
      <c r="O48" s="76" t="s">
        <v>52</v>
      </c>
      <c r="P48" s="76" t="s">
        <v>52</v>
      </c>
      <c r="Q48" s="76" t="s">
        <v>52</v>
      </c>
      <c r="R48" s="76" t="s">
        <v>52</v>
      </c>
      <c r="S48" s="76" t="s">
        <v>52</v>
      </c>
      <c r="T48" s="76" t="s">
        <v>52</v>
      </c>
      <c r="U48" s="76" t="s">
        <v>52</v>
      </c>
      <c r="V48" s="76" t="s">
        <v>52</v>
      </c>
      <c r="W48" s="76" t="s">
        <v>52</v>
      </c>
      <c r="X48" s="76" t="s">
        <v>52</v>
      </c>
      <c r="Y48" s="76" t="s">
        <v>52</v>
      </c>
      <c r="Z48" s="76" t="s">
        <v>52</v>
      </c>
      <c r="AA48" s="76" t="s">
        <v>52</v>
      </c>
      <c r="AB48" s="76" t="s">
        <v>52</v>
      </c>
      <c r="AC48" s="76" t="s">
        <v>52</v>
      </c>
      <c r="AD48" s="76" t="s">
        <v>52</v>
      </c>
      <c r="AE48" s="76" t="s">
        <v>52</v>
      </c>
      <c r="AF48" s="20" t="e">
        <f t="shared" si="1"/>
        <v>#DIV/0!</v>
      </c>
      <c r="AG48" s="76">
        <f t="shared" si="0"/>
        <v>0</v>
      </c>
      <c r="AH48" s="76">
        <f>IFERROR(VLOOKUP(AJ48,Area_CLCL!$A$5:$E$51,5),"")</f>
        <v>1</v>
      </c>
      <c r="AI48" s="76">
        <f t="shared" ca="1" si="2"/>
        <v>1993.557</v>
      </c>
      <c r="AJ48" s="76" t="s">
        <v>51</v>
      </c>
    </row>
    <row r="49" spans="1:36" x14ac:dyDescent="0.3">
      <c r="A49" s="76" t="s">
        <v>283</v>
      </c>
      <c r="B49" s="76" t="s">
        <v>23</v>
      </c>
      <c r="C49" s="76" t="s">
        <v>23</v>
      </c>
      <c r="D49" s="76" t="s">
        <v>23</v>
      </c>
      <c r="E49" s="76" t="s">
        <v>23</v>
      </c>
      <c r="F49" s="76" t="s">
        <v>23</v>
      </c>
      <c r="G49" s="76" t="s">
        <v>23</v>
      </c>
      <c r="H49" s="76" t="s">
        <v>23</v>
      </c>
      <c r="I49" s="76" t="s">
        <v>23</v>
      </c>
      <c r="J49" s="76" t="s">
        <v>23</v>
      </c>
      <c r="K49" s="76" t="s">
        <v>23</v>
      </c>
      <c r="L49" s="76" t="s">
        <v>23</v>
      </c>
      <c r="M49" s="76" t="s">
        <v>23</v>
      </c>
      <c r="N49" s="76" t="s">
        <v>23</v>
      </c>
      <c r="O49" s="76" t="s">
        <v>23</v>
      </c>
      <c r="P49" s="76" t="s">
        <v>23</v>
      </c>
      <c r="Q49" s="76" t="s">
        <v>23</v>
      </c>
      <c r="R49" s="76" t="s">
        <v>23</v>
      </c>
      <c r="S49" s="76" t="s">
        <v>23</v>
      </c>
      <c r="T49" s="76" t="s">
        <v>23</v>
      </c>
      <c r="U49" s="76" t="s">
        <v>23</v>
      </c>
      <c r="V49" s="76" t="s">
        <v>23</v>
      </c>
      <c r="W49" s="76" t="s">
        <v>23</v>
      </c>
      <c r="X49" s="76" t="s">
        <v>23</v>
      </c>
      <c r="Y49" s="76" t="s">
        <v>23</v>
      </c>
      <c r="Z49" s="76" t="s">
        <v>23</v>
      </c>
      <c r="AA49" s="76" t="s">
        <v>23</v>
      </c>
      <c r="AB49" s="76" t="s">
        <v>23</v>
      </c>
      <c r="AC49" s="76" t="s">
        <v>23</v>
      </c>
      <c r="AD49" s="76" t="s">
        <v>23</v>
      </c>
      <c r="AE49" s="76" t="s">
        <v>23</v>
      </c>
      <c r="AF49" s="20" t="e">
        <f t="shared" si="1"/>
        <v>#DIV/0!</v>
      </c>
      <c r="AG49" s="76">
        <f t="shared" si="0"/>
        <v>0</v>
      </c>
      <c r="AH49" s="76">
        <f>IFERROR(VLOOKUP(AJ49,Area_CLCL!$A$5:$E$51,5),"")</f>
        <v>1</v>
      </c>
      <c r="AI49" s="76">
        <f t="shared" ca="1" si="2"/>
        <v>1131.4526572321429</v>
      </c>
      <c r="AJ49" s="76" t="s">
        <v>53</v>
      </c>
    </row>
    <row r="50" spans="1:36" x14ac:dyDescent="0.3">
      <c r="A50" s="76" t="s">
        <v>284</v>
      </c>
      <c r="B50" s="76" t="s">
        <v>52</v>
      </c>
      <c r="C50" s="76" t="s">
        <v>52</v>
      </c>
      <c r="D50" s="76" t="s">
        <v>52</v>
      </c>
      <c r="E50" s="76" t="s">
        <v>52</v>
      </c>
      <c r="F50" s="76" t="s">
        <v>52</v>
      </c>
      <c r="G50" s="76" t="s">
        <v>52</v>
      </c>
      <c r="H50" s="76" t="s">
        <v>52</v>
      </c>
      <c r="I50" s="76" t="s">
        <v>52</v>
      </c>
      <c r="J50" s="76" t="s">
        <v>52</v>
      </c>
      <c r="K50" s="76" t="s">
        <v>52</v>
      </c>
      <c r="L50" s="76" t="s">
        <v>52</v>
      </c>
      <c r="M50" s="76" t="s">
        <v>52</v>
      </c>
      <c r="N50" s="76" t="s">
        <v>52</v>
      </c>
      <c r="O50" s="76" t="s">
        <v>52</v>
      </c>
      <c r="P50" s="76" t="s">
        <v>52</v>
      </c>
      <c r="Q50" s="76" t="s">
        <v>52</v>
      </c>
      <c r="R50" s="76" t="s">
        <v>52</v>
      </c>
      <c r="S50" s="76" t="s">
        <v>52</v>
      </c>
      <c r="T50" s="76" t="s">
        <v>52</v>
      </c>
      <c r="U50" s="76" t="s">
        <v>52</v>
      </c>
      <c r="V50" s="76" t="s">
        <v>52</v>
      </c>
      <c r="W50" s="76" t="s">
        <v>52</v>
      </c>
      <c r="X50" s="76" t="s">
        <v>52</v>
      </c>
      <c r="Y50" s="76" t="s">
        <v>52</v>
      </c>
      <c r="Z50" s="76" t="s">
        <v>52</v>
      </c>
      <c r="AA50" s="76" t="s">
        <v>52</v>
      </c>
      <c r="AB50" s="76" t="s">
        <v>52</v>
      </c>
      <c r="AC50" s="76" t="s">
        <v>52</v>
      </c>
      <c r="AD50" s="76" t="s">
        <v>52</v>
      </c>
      <c r="AE50" s="76" t="s">
        <v>52</v>
      </c>
      <c r="AF50" s="20" t="e">
        <f t="shared" si="1"/>
        <v>#DIV/0!</v>
      </c>
      <c r="AG50" s="76">
        <f t="shared" si="0"/>
        <v>0</v>
      </c>
      <c r="AH50" s="76">
        <f>IFERROR(VLOOKUP(AJ50,Area_CLCL!$A$5:$E$51,5),"")</f>
        <v>1</v>
      </c>
      <c r="AI50" s="76">
        <f t="shared" ca="1" si="2"/>
        <v>15096.942926135271</v>
      </c>
      <c r="AJ50" s="76" t="s">
        <v>55</v>
      </c>
    </row>
    <row r="51" spans="1:36" x14ac:dyDescent="0.3">
      <c r="A51" s="76" t="s">
        <v>285</v>
      </c>
      <c r="B51" s="74">
        <v>0.16227645201159999</v>
      </c>
      <c r="C51" s="74">
        <v>0.16227645201159999</v>
      </c>
      <c r="D51" s="74">
        <v>0.16227645199629001</v>
      </c>
      <c r="E51" s="74">
        <v>0.16227645198206</v>
      </c>
      <c r="F51" s="74">
        <v>0.16227645199408</v>
      </c>
      <c r="G51" s="74">
        <v>0.1633987340102</v>
      </c>
      <c r="H51" s="74">
        <v>0.16288002199418</v>
      </c>
      <c r="I51" s="74">
        <v>0.16232288001739001</v>
      </c>
      <c r="J51" s="74">
        <v>0.16203907801407</v>
      </c>
      <c r="K51" s="74">
        <v>0.16337989198347999</v>
      </c>
      <c r="L51" s="74">
        <v>0.16413012998313001</v>
      </c>
      <c r="M51" s="74">
        <v>0.16524238501670999</v>
      </c>
      <c r="N51" s="74">
        <v>0.16472427600167</v>
      </c>
      <c r="O51" s="74">
        <v>0.16298211398226001</v>
      </c>
      <c r="P51" s="74">
        <v>0.17416345898384999</v>
      </c>
      <c r="Q51" s="74">
        <v>0.18551504500637001</v>
      </c>
      <c r="R51" s="74">
        <v>0.17730604798496</v>
      </c>
      <c r="S51" s="74">
        <v>0.17324809901638999</v>
      </c>
      <c r="T51" s="74">
        <v>0.17424753498786</v>
      </c>
      <c r="U51" s="74">
        <v>0.17524226000054</v>
      </c>
      <c r="V51" s="74">
        <v>0.17474461799574001</v>
      </c>
      <c r="W51" s="74">
        <v>0.17883563799289001</v>
      </c>
      <c r="X51" s="74">
        <v>0.17927390599573001</v>
      </c>
      <c r="Y51" s="74">
        <v>0.17857507000414</v>
      </c>
      <c r="Z51" s="74">
        <v>0.18580132800556001</v>
      </c>
      <c r="AA51" s="74">
        <v>0.19404060699570999</v>
      </c>
      <c r="AB51" s="74">
        <v>0.19125908199958</v>
      </c>
      <c r="AC51" s="74">
        <v>0.18612684800554999</v>
      </c>
      <c r="AD51" s="74">
        <v>0.18612684798192999</v>
      </c>
      <c r="AE51" s="74">
        <v>0.18612684798984999</v>
      </c>
      <c r="AF51" s="20">
        <f t="shared" si="1"/>
        <v>6.0145022771547603E-2</v>
      </c>
      <c r="AG51" s="76">
        <f t="shared" si="0"/>
        <v>1.041304997928244E-2</v>
      </c>
      <c r="AH51" s="76">
        <f>IFERROR(VLOOKUP(AJ51,Area_CLCL!$A$5:$E$51,5),"")</f>
        <v>1</v>
      </c>
      <c r="AI51" s="76">
        <f t="shared" ca="1" si="2"/>
        <v>23822.369953000001</v>
      </c>
      <c r="AJ51" s="76" t="s">
        <v>56</v>
      </c>
    </row>
    <row r="52" spans="1:36" x14ac:dyDescent="0.3">
      <c r="A52" s="76" t="s">
        <v>286</v>
      </c>
      <c r="B52" s="74">
        <v>8.3711710161E-4</v>
      </c>
      <c r="C52" s="74">
        <v>8.3711710161E-4</v>
      </c>
      <c r="D52" s="74">
        <v>9.2224858644999997E-4</v>
      </c>
      <c r="E52" s="74">
        <v>1.0323025749500001E-3</v>
      </c>
      <c r="F52" s="74">
        <v>1.03521495531E-3</v>
      </c>
      <c r="G52" s="74">
        <v>1.00621902501E-3</v>
      </c>
      <c r="H52" s="74">
        <v>9.4463866642999997E-4</v>
      </c>
      <c r="I52" s="74">
        <v>9.0301686841999995E-4</v>
      </c>
      <c r="J52" s="74">
        <v>1.27674203154E-3</v>
      </c>
      <c r="K52" s="74">
        <v>1.4610449139800001E-3</v>
      </c>
      <c r="L52" s="74">
        <v>1.6341818722600001E-3</v>
      </c>
      <c r="M52" s="74">
        <v>1.7315922235000001E-3</v>
      </c>
      <c r="N52" s="74">
        <v>1.7796716088299999E-3</v>
      </c>
      <c r="O52" s="74">
        <v>1.86896881359E-3</v>
      </c>
      <c r="P52" s="74">
        <v>1.8818373438799999E-3</v>
      </c>
      <c r="Q52" s="74">
        <v>2.08753191611E-3</v>
      </c>
      <c r="R52" s="74">
        <v>2.1666587882599999E-3</v>
      </c>
      <c r="S52" s="74">
        <v>1.7259597573999999E-3</v>
      </c>
      <c r="T52" s="74">
        <v>1.84939859994E-3</v>
      </c>
      <c r="U52" s="74">
        <v>1.87559897476E-3</v>
      </c>
      <c r="V52" s="74">
        <v>1.98275303017E-3</v>
      </c>
      <c r="W52" s="74">
        <v>2.11448055575E-3</v>
      </c>
      <c r="X52" s="74">
        <v>2.37072163936E-3</v>
      </c>
      <c r="Y52" s="74">
        <v>2.3120321961500002E-3</v>
      </c>
      <c r="Z52" s="74">
        <v>2.3608760455900001E-3</v>
      </c>
      <c r="AA52" s="74">
        <v>2.4691890718999999E-3</v>
      </c>
      <c r="AB52" s="74">
        <v>2.3394958834600001E-3</v>
      </c>
      <c r="AC52" s="74">
        <v>2.3516220103699998E-3</v>
      </c>
      <c r="AD52" s="74">
        <v>2.3475280603799998E-3</v>
      </c>
      <c r="AE52" s="74">
        <v>2.4182511626799998E-3</v>
      </c>
      <c r="AF52" s="76"/>
      <c r="AG52" s="76">
        <f t="shared" si="0"/>
        <v>5.4833748149565908E-4</v>
      </c>
      <c r="AH52" s="76" t="str">
        <f>IFERROR(VLOOKUP(AJ52,Area_CLCL!$A$5:$E$51,5),"")</f>
        <v/>
      </c>
      <c r="AI52" s="76" t="str">
        <f t="shared" ca="1" si="2"/>
        <v/>
      </c>
      <c r="AJ52" s="76"/>
    </row>
    <row r="53" spans="1:36" x14ac:dyDescent="0.3">
      <c r="A53" s="76" t="s">
        <v>287</v>
      </c>
      <c r="B53" s="76" t="s">
        <v>23</v>
      </c>
      <c r="C53" s="76" t="s">
        <v>23</v>
      </c>
      <c r="D53" s="76" t="s">
        <v>23</v>
      </c>
      <c r="E53" s="76" t="s">
        <v>23</v>
      </c>
      <c r="F53" s="76" t="s">
        <v>23</v>
      </c>
      <c r="G53" s="76" t="s">
        <v>23</v>
      </c>
      <c r="H53" s="76" t="s">
        <v>23</v>
      </c>
      <c r="I53" s="76" t="s">
        <v>23</v>
      </c>
      <c r="J53" s="76" t="s">
        <v>23</v>
      </c>
      <c r="K53" s="76" t="s">
        <v>23</v>
      </c>
      <c r="L53" s="76" t="s">
        <v>23</v>
      </c>
      <c r="M53" s="76" t="s">
        <v>23</v>
      </c>
      <c r="N53" s="76" t="s">
        <v>23</v>
      </c>
      <c r="O53" s="76" t="s">
        <v>23</v>
      </c>
      <c r="P53" s="76" t="s">
        <v>23</v>
      </c>
      <c r="Q53" s="76" t="s">
        <v>23</v>
      </c>
      <c r="R53" s="76" t="s">
        <v>23</v>
      </c>
      <c r="S53" s="76" t="s">
        <v>23</v>
      </c>
      <c r="T53" s="76" t="s">
        <v>23</v>
      </c>
      <c r="U53" s="76" t="s">
        <v>23</v>
      </c>
      <c r="V53" s="76" t="s">
        <v>23</v>
      </c>
      <c r="W53" s="76" t="s">
        <v>23</v>
      </c>
      <c r="X53" s="76" t="s">
        <v>23</v>
      </c>
      <c r="Y53" s="76" t="s">
        <v>23</v>
      </c>
      <c r="Z53" s="76" t="s">
        <v>23</v>
      </c>
      <c r="AA53" s="76" t="s">
        <v>23</v>
      </c>
      <c r="AB53" s="76" t="s">
        <v>23</v>
      </c>
      <c r="AC53" s="76" t="s">
        <v>23</v>
      </c>
      <c r="AD53" s="76" t="s">
        <v>23</v>
      </c>
      <c r="AE53" s="76" t="s">
        <v>23</v>
      </c>
      <c r="AF53" s="76"/>
      <c r="AG53" s="76">
        <f t="shared" si="0"/>
        <v>0</v>
      </c>
      <c r="AH53" s="76" t="str">
        <f>IFERROR(VLOOKUP(AJ53,Area_CLCL!$A$5:$E$51,5),"")</f>
        <v/>
      </c>
      <c r="AI53" s="76" t="str">
        <f t="shared" ca="1" si="2"/>
        <v/>
      </c>
      <c r="AJ53" s="76"/>
    </row>
    <row r="54" spans="1:36" x14ac:dyDescent="0.3">
      <c r="A54" s="76" t="s">
        <v>288</v>
      </c>
      <c r="B54" s="76" t="s">
        <v>52</v>
      </c>
      <c r="C54" s="76" t="s">
        <v>52</v>
      </c>
      <c r="D54" s="76" t="s">
        <v>52</v>
      </c>
      <c r="E54" s="76" t="s">
        <v>52</v>
      </c>
      <c r="F54" s="76" t="s">
        <v>52</v>
      </c>
      <c r="G54" s="76" t="s">
        <v>52</v>
      </c>
      <c r="H54" s="76" t="s">
        <v>52</v>
      </c>
      <c r="I54" s="76" t="s">
        <v>52</v>
      </c>
      <c r="J54" s="76" t="s">
        <v>52</v>
      </c>
      <c r="K54" s="76" t="s">
        <v>52</v>
      </c>
      <c r="L54" s="76" t="s">
        <v>52</v>
      </c>
      <c r="M54" s="76" t="s">
        <v>52</v>
      </c>
      <c r="N54" s="76" t="s">
        <v>52</v>
      </c>
      <c r="O54" s="76" t="s">
        <v>52</v>
      </c>
      <c r="P54" s="76" t="s">
        <v>52</v>
      </c>
      <c r="Q54" s="76" t="s">
        <v>52</v>
      </c>
      <c r="R54" s="76" t="s">
        <v>52</v>
      </c>
      <c r="S54" s="76" t="s">
        <v>52</v>
      </c>
      <c r="T54" s="76" t="s">
        <v>52</v>
      </c>
      <c r="U54" s="76" t="s">
        <v>52</v>
      </c>
      <c r="V54" s="76" t="s">
        <v>52</v>
      </c>
      <c r="W54" s="76" t="s">
        <v>52</v>
      </c>
      <c r="X54" s="76" t="s">
        <v>52</v>
      </c>
      <c r="Y54" s="76" t="s">
        <v>52</v>
      </c>
      <c r="Z54" s="76" t="s">
        <v>52</v>
      </c>
      <c r="AA54" s="76" t="s">
        <v>52</v>
      </c>
      <c r="AB54" s="76" t="s">
        <v>52</v>
      </c>
      <c r="AC54" s="76" t="s">
        <v>52</v>
      </c>
      <c r="AD54" s="76" t="s">
        <v>52</v>
      </c>
      <c r="AE54" s="76" t="s">
        <v>52</v>
      </c>
      <c r="AF54" s="76"/>
      <c r="AG54" s="76">
        <f t="shared" si="0"/>
        <v>0</v>
      </c>
      <c r="AH54" s="76" t="str">
        <f>IFERROR(VLOOKUP(AJ54,Area_CLCL!$A$5:$E$51,5),"")</f>
        <v/>
      </c>
      <c r="AI54" s="76" t="str">
        <f t="shared" ca="1" si="2"/>
        <v/>
      </c>
      <c r="AJ54" s="76"/>
    </row>
    <row r="55" spans="1:36" x14ac:dyDescent="0.3">
      <c r="A55" s="76" t="s">
        <v>289</v>
      </c>
      <c r="B55" s="74">
        <v>0.22387805475082001</v>
      </c>
      <c r="C55" s="74">
        <v>0.22387805475082001</v>
      </c>
      <c r="D55" s="74">
        <v>0.22895363432176999</v>
      </c>
      <c r="E55" s="74">
        <v>0.23453443156963999</v>
      </c>
      <c r="F55" s="74">
        <v>0.24181948219411001</v>
      </c>
      <c r="G55" s="74">
        <v>0.25135650185052999</v>
      </c>
      <c r="H55" s="74">
        <v>0.26203611734729998</v>
      </c>
      <c r="I55" s="74">
        <v>0.27381108255011</v>
      </c>
      <c r="J55" s="74">
        <v>0.28655383409714003</v>
      </c>
      <c r="K55" s="74">
        <v>0.29736331688929002</v>
      </c>
      <c r="L55" s="74">
        <v>0.30769466227564002</v>
      </c>
      <c r="M55" s="74">
        <v>0.31704717927965997</v>
      </c>
      <c r="N55" s="74">
        <v>0.32749106396842997</v>
      </c>
      <c r="O55" s="74">
        <v>0.33776752798205001</v>
      </c>
      <c r="P55" s="74">
        <v>0.34747120647603003</v>
      </c>
      <c r="Q55" s="74">
        <v>0.35617711632658</v>
      </c>
      <c r="R55" s="74">
        <v>0.36298397887669998</v>
      </c>
      <c r="S55" s="74">
        <v>0.36774253024926001</v>
      </c>
      <c r="T55" s="74">
        <v>0.37110528723827002</v>
      </c>
      <c r="U55" s="74">
        <v>0.37010387122366001</v>
      </c>
      <c r="V55" s="74">
        <v>0.37043957454967003</v>
      </c>
      <c r="W55" s="74">
        <v>0.37071540726885999</v>
      </c>
      <c r="X55" s="74">
        <v>0.37982737355465002</v>
      </c>
      <c r="Y55" s="74">
        <v>0.38976031476042</v>
      </c>
      <c r="Z55" s="74">
        <v>0.39346417948895002</v>
      </c>
      <c r="AA55" s="74">
        <v>0.39584380553567999</v>
      </c>
      <c r="AB55" s="74">
        <v>0.39921689325477</v>
      </c>
      <c r="AC55" s="74">
        <v>0.40156118145892999</v>
      </c>
      <c r="AD55" s="74">
        <v>0.40394782229261</v>
      </c>
      <c r="AE55" s="74">
        <v>0.40632789449911999</v>
      </c>
      <c r="AF55" s="76"/>
      <c r="AG55" s="76">
        <f t="shared" si="0"/>
        <v>6.0157551708842467E-2</v>
      </c>
      <c r="AH55" s="76" t="str">
        <f>IFERROR(VLOOKUP(AJ55,Area_CLCL!$A$5:$E$51,5),"")</f>
        <v/>
      </c>
      <c r="AI55" s="76" t="str">
        <f t="shared" ca="1" si="2"/>
        <v/>
      </c>
      <c r="AJ55" s="76"/>
    </row>
    <row r="56" spans="1:36" x14ac:dyDescent="0.3">
      <c r="A56" s="76" t="s">
        <v>290</v>
      </c>
      <c r="B56" s="74">
        <v>0.22393755846805999</v>
      </c>
      <c r="C56" s="74">
        <v>0.22393755846805999</v>
      </c>
      <c r="D56" s="74">
        <v>0.22901257634500999</v>
      </c>
      <c r="E56" s="74">
        <v>0.23459291514538999</v>
      </c>
      <c r="F56" s="74">
        <v>0.24187795987575</v>
      </c>
      <c r="G56" s="74">
        <v>0.25141550215904002</v>
      </c>
      <c r="H56" s="74">
        <v>0.26209602130379001</v>
      </c>
      <c r="I56" s="74">
        <v>0.27387218568097998</v>
      </c>
      <c r="J56" s="74">
        <v>0.28661630046828002</v>
      </c>
      <c r="K56" s="74">
        <v>0.29742663461058999</v>
      </c>
      <c r="L56" s="74">
        <v>0.30775859612347001</v>
      </c>
      <c r="M56" s="74">
        <v>0.31711153167548001</v>
      </c>
      <c r="N56" s="74">
        <v>0.32755609600090002</v>
      </c>
      <c r="O56" s="74">
        <v>0.33783316981926997</v>
      </c>
      <c r="P56" s="74">
        <v>0.34753725174474998</v>
      </c>
      <c r="Q56" s="74">
        <v>0.35624325856970002</v>
      </c>
      <c r="R56" s="74">
        <v>0.36304982201758002</v>
      </c>
      <c r="S56" s="74">
        <v>0.36780758156481003</v>
      </c>
      <c r="T56" s="74">
        <v>0.37116919564562001</v>
      </c>
      <c r="U56" s="74">
        <v>0.37016583207089998</v>
      </c>
      <c r="V56" s="74">
        <v>0.37049984722565998</v>
      </c>
      <c r="W56" s="74">
        <v>0.37077402088659001</v>
      </c>
      <c r="X56" s="74">
        <v>0.37988609103985999</v>
      </c>
      <c r="Y56" s="74">
        <v>0.38981920309297002</v>
      </c>
      <c r="Z56" s="74">
        <v>0.39352223609057002</v>
      </c>
      <c r="AA56" s="74">
        <v>0.39590079910517001</v>
      </c>
      <c r="AB56" s="74">
        <v>0.39927302541034998</v>
      </c>
      <c r="AC56" s="74">
        <v>0.40161633838076999</v>
      </c>
      <c r="AD56" s="74">
        <v>0.40400200019237997</v>
      </c>
      <c r="AE56" s="74">
        <v>0.40638109083999002</v>
      </c>
      <c r="AF56" s="76"/>
      <c r="AG56" s="76">
        <f t="shared" si="0"/>
        <v>6.0156892843518682E-2</v>
      </c>
      <c r="AH56" s="76" t="str">
        <f>IFERROR(VLOOKUP(AJ56,Area_CLCL!$A$5:$E$51,5),"")</f>
        <v/>
      </c>
      <c r="AI56" s="76" t="str">
        <f t="shared" ca="1" si="2"/>
        <v/>
      </c>
      <c r="AJ56" s="76"/>
    </row>
    <row r="57" spans="1:36" x14ac:dyDescent="0.3">
      <c r="A57" s="76" t="s">
        <v>291</v>
      </c>
      <c r="B57" s="74">
        <v>-2.7937112367999999E-4</v>
      </c>
      <c r="C57" s="74">
        <v>-2.7937112367999999E-4</v>
      </c>
      <c r="D57" s="74">
        <v>-1.7080067280000001E-5</v>
      </c>
      <c r="E57" s="74">
        <v>1.67680573E-6</v>
      </c>
      <c r="F57" s="74">
        <v>3.5350637329999999E-5</v>
      </c>
      <c r="G57" s="74">
        <v>5.4911830269999999E-5</v>
      </c>
      <c r="H57" s="74">
        <v>7.6818575029999998E-5</v>
      </c>
      <c r="I57" s="74">
        <v>4.1828314899E-4</v>
      </c>
      <c r="J57" s="74">
        <v>6.1406133397999996E-4</v>
      </c>
      <c r="K57" s="74">
        <v>7.9155461973000004E-4</v>
      </c>
      <c r="L57" s="74">
        <v>9.1409046459999996E-4</v>
      </c>
      <c r="M57" s="74">
        <v>1.0367231851E-3</v>
      </c>
      <c r="N57" s="74">
        <v>1.09645106922E-3</v>
      </c>
      <c r="O57" s="74">
        <v>1.2553826892E-3</v>
      </c>
      <c r="P57" s="74">
        <v>1.43348859345E-3</v>
      </c>
      <c r="Q57" s="74">
        <v>1.6276662431E-3</v>
      </c>
      <c r="R57" s="74">
        <v>1.8281881077700001E-3</v>
      </c>
      <c r="S57" s="74">
        <v>1.12492600764E-3</v>
      </c>
      <c r="T57" s="74">
        <v>1.9622516906100001E-3</v>
      </c>
      <c r="U57" s="74">
        <v>2.4372895831599999E-3</v>
      </c>
      <c r="V57" s="74">
        <v>2.92080645624E-3</v>
      </c>
      <c r="W57" s="74">
        <v>-4.6167964783200002E-3</v>
      </c>
      <c r="X57" s="74">
        <v>-3.6936882971000001E-3</v>
      </c>
      <c r="Y57" s="74">
        <v>4.3509823518100002E-3</v>
      </c>
      <c r="Z57" s="74">
        <v>-5.74050233559E-3</v>
      </c>
      <c r="AA57" s="74">
        <v>2.71894625587E-3</v>
      </c>
      <c r="AB57" s="74">
        <v>6.3129482105000003E-4</v>
      </c>
      <c r="AC57" s="74">
        <v>-8.1886569619499996E-3</v>
      </c>
      <c r="AD57" s="74">
        <v>-1.4085571054199999E-3</v>
      </c>
      <c r="AE57" s="74">
        <v>3.3467913571000002E-3</v>
      </c>
      <c r="AF57" s="76"/>
      <c r="AG57" s="76">
        <f t="shared" si="0"/>
        <v>2.7183177941739506E-3</v>
      </c>
      <c r="AH57" s="76" t="str">
        <f>IFERROR(VLOOKUP(AJ57,Area_CLCL!$A$5:$E$51,5),"")</f>
        <v/>
      </c>
      <c r="AI57" s="76" t="str">
        <f t="shared" ca="1" si="2"/>
        <v/>
      </c>
      <c r="AJ57" s="7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I31" sqref="I31"/>
    </sheetView>
  </sheetViews>
  <sheetFormatPr baseColWidth="10" defaultColWidth="11.44140625" defaultRowHeight="14.4" x14ac:dyDescent="0.3"/>
  <cols>
    <col min="5" max="5" width="11.5546875" style="27"/>
  </cols>
  <sheetData>
    <row r="1" spans="1:5" x14ac:dyDescent="0.3">
      <c r="A1" s="86" t="s">
        <v>292</v>
      </c>
      <c r="B1" s="73"/>
      <c r="C1" s="73"/>
      <c r="D1" s="73"/>
      <c r="E1" s="76"/>
    </row>
    <row r="2" spans="1:5" x14ac:dyDescent="0.3">
      <c r="A2" s="77" t="s">
        <v>329</v>
      </c>
      <c r="B2" s="76"/>
      <c r="C2" s="76"/>
      <c r="D2" s="76"/>
      <c r="E2" s="76"/>
    </row>
    <row r="4" spans="1:5" x14ac:dyDescent="0.3">
      <c r="A4" s="86" t="s">
        <v>124</v>
      </c>
      <c r="B4" s="181" t="s">
        <v>125</v>
      </c>
      <c r="C4" s="181"/>
      <c r="D4" s="181"/>
      <c r="E4" s="76"/>
    </row>
    <row r="5" spans="1:5" x14ac:dyDescent="0.3">
      <c r="A5" s="86" t="s">
        <v>295</v>
      </c>
      <c r="B5" s="86" t="s">
        <v>296</v>
      </c>
      <c r="C5" s="86" t="s">
        <v>297</v>
      </c>
      <c r="D5" s="86" t="s">
        <v>298</v>
      </c>
      <c r="E5" s="76" t="s">
        <v>72</v>
      </c>
    </row>
    <row r="6" spans="1:5" x14ac:dyDescent="0.3">
      <c r="A6" s="86" t="s">
        <v>299</v>
      </c>
      <c r="B6" s="86" t="s">
        <v>300</v>
      </c>
      <c r="C6" s="86" t="s">
        <v>300</v>
      </c>
      <c r="D6" s="86" t="s">
        <v>300</v>
      </c>
      <c r="E6" s="76"/>
    </row>
    <row r="7" spans="1:5" x14ac:dyDescent="0.3">
      <c r="A7" s="81" t="s">
        <v>301</v>
      </c>
      <c r="B7" s="80">
        <v>123723.14519867887</v>
      </c>
      <c r="C7" s="80">
        <v>123723.14519867887</v>
      </c>
      <c r="D7" s="80" t="s">
        <v>302</v>
      </c>
      <c r="E7" s="76">
        <v>0</v>
      </c>
    </row>
    <row r="8" spans="1:5" x14ac:dyDescent="0.3">
      <c r="A8" s="81" t="s">
        <v>17</v>
      </c>
      <c r="B8" s="80">
        <v>3894.9761587391549</v>
      </c>
      <c r="C8" s="80">
        <v>3894.9761587391549</v>
      </c>
      <c r="D8" s="80" t="s">
        <v>23</v>
      </c>
      <c r="E8" s="76">
        <v>1</v>
      </c>
    </row>
    <row r="9" spans="1:5" x14ac:dyDescent="0.3">
      <c r="A9" s="81" t="s">
        <v>303</v>
      </c>
      <c r="B9" s="80">
        <v>8218.4</v>
      </c>
      <c r="C9" s="80">
        <v>8218.4</v>
      </c>
      <c r="D9" s="80" t="s">
        <v>50</v>
      </c>
      <c r="E9" s="76">
        <v>0</v>
      </c>
    </row>
    <row r="10" spans="1:5" x14ac:dyDescent="0.3">
      <c r="A10" s="81" t="s">
        <v>26</v>
      </c>
      <c r="B10" s="80">
        <v>691.28982364458125</v>
      </c>
      <c r="C10" s="80">
        <v>691.28982364458125</v>
      </c>
      <c r="D10" s="80" t="s">
        <v>23</v>
      </c>
      <c r="E10" s="76">
        <v>1</v>
      </c>
    </row>
    <row r="11" spans="1:5" x14ac:dyDescent="0.3">
      <c r="A11" s="81" t="s">
        <v>64</v>
      </c>
      <c r="B11" s="80">
        <v>3684.7715193111121</v>
      </c>
      <c r="C11" s="80">
        <v>3684.7715193111121</v>
      </c>
      <c r="D11" s="80" t="s">
        <v>23</v>
      </c>
      <c r="E11" s="76">
        <v>1</v>
      </c>
    </row>
    <row r="12" spans="1:5" x14ac:dyDescent="0.3">
      <c r="A12" s="81" t="s">
        <v>304</v>
      </c>
      <c r="B12" s="80">
        <v>225706.17735993001</v>
      </c>
      <c r="C12" s="80">
        <v>225706.17735993001</v>
      </c>
      <c r="D12" s="80" t="s">
        <v>302</v>
      </c>
      <c r="E12" s="76">
        <v>0</v>
      </c>
    </row>
    <row r="13" spans="1:5" x14ac:dyDescent="0.3">
      <c r="A13" s="81" t="s">
        <v>29</v>
      </c>
      <c r="B13" s="80">
        <v>2312.9182183347302</v>
      </c>
      <c r="C13" s="80">
        <v>2312.9182183347302</v>
      </c>
      <c r="D13" s="80" t="s">
        <v>23</v>
      </c>
      <c r="E13" s="76">
        <v>1</v>
      </c>
    </row>
    <row r="14" spans="1:5" x14ac:dyDescent="0.3">
      <c r="A14" s="81" t="s">
        <v>60</v>
      </c>
      <c r="B14" s="80">
        <v>158.90728488061598</v>
      </c>
      <c r="C14" s="80">
        <v>158.90728488061598</v>
      </c>
      <c r="D14" s="80" t="s">
        <v>23</v>
      </c>
      <c r="E14" s="76">
        <v>1</v>
      </c>
    </row>
    <row r="15" spans="1:5" x14ac:dyDescent="0.3">
      <c r="A15" s="81" t="s">
        <v>62</v>
      </c>
      <c r="B15" s="80">
        <v>2602.6188999999999</v>
      </c>
      <c r="C15" s="80">
        <v>2621.2838999999999</v>
      </c>
      <c r="D15" s="80">
        <v>18.664999999999999</v>
      </c>
      <c r="E15" s="76">
        <v>1</v>
      </c>
    </row>
    <row r="16" spans="1:5" x14ac:dyDescent="0.3">
      <c r="A16" s="81" t="s">
        <v>61</v>
      </c>
      <c r="B16" s="80">
        <v>536.92234862999999</v>
      </c>
      <c r="C16" s="80">
        <v>566.61737096499996</v>
      </c>
      <c r="D16" s="80">
        <v>29.695022335000001</v>
      </c>
      <c r="E16" s="76">
        <v>1</v>
      </c>
    </row>
    <row r="17" spans="1:5" x14ac:dyDescent="0.3">
      <c r="A17" s="81" t="s">
        <v>63</v>
      </c>
      <c r="B17" s="80">
        <v>1822.203</v>
      </c>
      <c r="C17" s="80">
        <v>2372.654</v>
      </c>
      <c r="D17" s="80">
        <v>550.45100000000002</v>
      </c>
      <c r="E17" s="76">
        <v>1</v>
      </c>
    </row>
    <row r="18" spans="1:5" x14ac:dyDescent="0.3">
      <c r="A18" s="81" t="s">
        <v>130</v>
      </c>
      <c r="B18" s="80">
        <v>147531.92399675187</v>
      </c>
      <c r="C18" s="80">
        <v>159789.43436881556</v>
      </c>
      <c r="D18" s="80">
        <v>12257.510372063693</v>
      </c>
      <c r="E18" s="76">
        <v>0</v>
      </c>
    </row>
    <row r="19" spans="1:5" x14ac:dyDescent="0.3">
      <c r="A19" s="81" t="s">
        <v>305</v>
      </c>
      <c r="B19" s="80">
        <v>147629.14204245323</v>
      </c>
      <c r="C19" s="80">
        <v>159892.87905569078</v>
      </c>
      <c r="D19" s="80">
        <v>12263.737013237542</v>
      </c>
      <c r="E19" s="76">
        <v>0</v>
      </c>
    </row>
    <row r="20" spans="1:5" x14ac:dyDescent="0.3">
      <c r="A20" s="81" t="s">
        <v>31</v>
      </c>
      <c r="B20" s="80">
        <v>15849.471</v>
      </c>
      <c r="C20" s="80">
        <v>21773.582999999999</v>
      </c>
      <c r="D20" s="80">
        <v>5924.1120000000001</v>
      </c>
      <c r="E20" s="76">
        <v>1</v>
      </c>
    </row>
    <row r="21" spans="1:5" x14ac:dyDescent="0.3">
      <c r="A21" s="81" t="s">
        <v>34</v>
      </c>
      <c r="B21" s="80">
        <v>23263.558240999999</v>
      </c>
      <c r="C21" s="80">
        <v>23263.558240999999</v>
      </c>
      <c r="D21" s="80" t="s">
        <v>23</v>
      </c>
      <c r="E21" s="76">
        <v>1</v>
      </c>
    </row>
    <row r="22" spans="1:5" x14ac:dyDescent="0.3">
      <c r="A22" s="81" t="s">
        <v>35</v>
      </c>
      <c r="B22" s="80">
        <v>10541.2</v>
      </c>
      <c r="C22" s="80">
        <v>10797.290999999999</v>
      </c>
      <c r="D22" s="80">
        <v>256.09100000000001</v>
      </c>
      <c r="E22" s="76">
        <v>1</v>
      </c>
    </row>
    <row r="23" spans="1:5" x14ac:dyDescent="0.3">
      <c r="A23" s="81" t="s">
        <v>36</v>
      </c>
      <c r="B23" s="80">
        <v>3392.5964222751195</v>
      </c>
      <c r="C23" s="80">
        <v>3392.5964222751195</v>
      </c>
      <c r="D23" s="80" t="s">
        <v>23</v>
      </c>
      <c r="E23" s="76">
        <v>1</v>
      </c>
    </row>
    <row r="24" spans="1:5" x14ac:dyDescent="0.3">
      <c r="A24" s="81" t="s">
        <v>38</v>
      </c>
      <c r="B24" s="80">
        <v>1924.5463544966301</v>
      </c>
      <c r="C24" s="80">
        <v>1931.01035449663</v>
      </c>
      <c r="D24" s="80">
        <v>6.4640000000000004</v>
      </c>
      <c r="E24" s="76">
        <v>1</v>
      </c>
    </row>
    <row r="25" spans="1:5" x14ac:dyDescent="0.3">
      <c r="A25" s="81" t="s">
        <v>306</v>
      </c>
      <c r="B25" s="80">
        <v>89.792044459534182</v>
      </c>
      <c r="C25" s="80">
        <v>89.921552778455052</v>
      </c>
      <c r="D25" s="80">
        <v>0.12950831892087</v>
      </c>
      <c r="E25" s="76">
        <v>0</v>
      </c>
    </row>
    <row r="26" spans="1:5" x14ac:dyDescent="0.3">
      <c r="A26" s="81" t="s">
        <v>39</v>
      </c>
      <c r="B26" s="80">
        <v>175.72997012684971</v>
      </c>
      <c r="C26" s="80">
        <v>446.13557999999989</v>
      </c>
      <c r="D26" s="80">
        <v>270.40560987315018</v>
      </c>
      <c r="E26" s="76">
        <v>1</v>
      </c>
    </row>
    <row r="27" spans="1:5" x14ac:dyDescent="0.3">
      <c r="A27" s="81" t="s">
        <v>40</v>
      </c>
      <c r="B27" s="80">
        <v>8157.4246597237425</v>
      </c>
      <c r="C27" s="80">
        <v>8157.4246597237425</v>
      </c>
      <c r="D27" s="80" t="s">
        <v>23</v>
      </c>
      <c r="E27" s="76">
        <v>1</v>
      </c>
    </row>
    <row r="28" spans="1:5" x14ac:dyDescent="0.3">
      <c r="A28" s="81" t="s">
        <v>307</v>
      </c>
      <c r="B28" s="80">
        <v>24785.687358275161</v>
      </c>
      <c r="C28" s="80">
        <v>24852.307467554241</v>
      </c>
      <c r="D28" s="80">
        <v>66.620109279079273</v>
      </c>
      <c r="E28" s="76">
        <v>0</v>
      </c>
    </row>
    <row r="29" spans="1:5" x14ac:dyDescent="0.3">
      <c r="A29" s="81" t="s">
        <v>308</v>
      </c>
      <c r="B29" s="80">
        <v>13007</v>
      </c>
      <c r="C29" s="80">
        <v>13007</v>
      </c>
      <c r="D29" s="80" t="s">
        <v>23</v>
      </c>
      <c r="E29" s="76">
        <v>0</v>
      </c>
    </row>
    <row r="30" spans="1:5" x14ac:dyDescent="0.3">
      <c r="A30" s="81" t="s">
        <v>41</v>
      </c>
      <c r="B30" s="80">
        <v>2730.5551839999998</v>
      </c>
      <c r="C30" s="80">
        <v>3119.6916179999998</v>
      </c>
      <c r="D30" s="80">
        <v>389.13643400000001</v>
      </c>
      <c r="E30" s="76">
        <v>1</v>
      </c>
    </row>
    <row r="31" spans="1:5" x14ac:dyDescent="0.3">
      <c r="A31" s="81" t="s">
        <v>309</v>
      </c>
      <c r="B31" s="80">
        <v>5.8980199999999998</v>
      </c>
      <c r="C31" s="80">
        <v>5.8980199999999998</v>
      </c>
      <c r="D31" s="80" t="s">
        <v>23</v>
      </c>
      <c r="E31" s="76">
        <v>0</v>
      </c>
    </row>
    <row r="32" spans="1:5" x14ac:dyDescent="0.3">
      <c r="A32" s="81" t="s">
        <v>42</v>
      </c>
      <c r="B32" s="80">
        <v>1798.595685345289</v>
      </c>
      <c r="C32" s="80">
        <v>2081.7079691496401</v>
      </c>
      <c r="D32" s="80">
        <v>283.11228380435108</v>
      </c>
      <c r="E32" s="76">
        <v>1</v>
      </c>
    </row>
    <row r="33" spans="1:5" x14ac:dyDescent="0.3">
      <c r="A33" s="81" t="s">
        <v>43</v>
      </c>
      <c r="B33" s="80">
        <v>93.491736411930219</v>
      </c>
      <c r="C33" s="80">
        <v>93.491736411930219</v>
      </c>
      <c r="D33" s="80" t="s">
        <v>23</v>
      </c>
      <c r="E33" s="76">
        <v>1</v>
      </c>
    </row>
    <row r="34" spans="1:5" x14ac:dyDescent="0.3">
      <c r="A34" s="81" t="s">
        <v>44</v>
      </c>
      <c r="B34" s="80">
        <v>7.1999999999999995E-2</v>
      </c>
      <c r="C34" s="80">
        <v>7.1999999999999995E-2</v>
      </c>
      <c r="D34" s="80" t="s">
        <v>23</v>
      </c>
      <c r="E34" s="76">
        <v>1</v>
      </c>
    </row>
    <row r="35" spans="1:5" x14ac:dyDescent="0.3">
      <c r="A35" s="81" t="s">
        <v>310</v>
      </c>
      <c r="B35" s="80" t="s">
        <v>23</v>
      </c>
      <c r="C35" s="80" t="s">
        <v>23</v>
      </c>
      <c r="D35" s="80" t="s">
        <v>23</v>
      </c>
      <c r="E35" s="76">
        <v>0</v>
      </c>
    </row>
    <row r="36" spans="1:5" x14ac:dyDescent="0.3">
      <c r="A36" s="81" t="s">
        <v>45</v>
      </c>
      <c r="B36" s="80">
        <v>304.52413200000001</v>
      </c>
      <c r="C36" s="80">
        <v>319.55642290000003</v>
      </c>
      <c r="D36" s="80">
        <v>15.0322909</v>
      </c>
      <c r="E36" s="76">
        <v>1</v>
      </c>
    </row>
    <row r="37" spans="1:5" x14ac:dyDescent="0.3">
      <c r="A37" s="81" t="s">
        <v>311</v>
      </c>
      <c r="B37" s="80">
        <v>9202.7195852388395</v>
      </c>
      <c r="C37" s="80">
        <v>9216.1421848690425</v>
      </c>
      <c r="D37" s="80">
        <v>13.422599630203081</v>
      </c>
      <c r="E37" s="76">
        <v>0</v>
      </c>
    </row>
    <row r="38" spans="1:5" x14ac:dyDescent="0.3">
      <c r="A38" s="81" t="s">
        <v>193</v>
      </c>
      <c r="B38" s="80">
        <v>11342.407149999999</v>
      </c>
      <c r="C38" s="80">
        <v>12058.996289999999</v>
      </c>
      <c r="D38" s="80">
        <v>716.58914000000004</v>
      </c>
      <c r="E38" s="76">
        <v>0</v>
      </c>
    </row>
    <row r="39" spans="1:5" x14ac:dyDescent="0.3">
      <c r="A39" s="81" t="s">
        <v>46</v>
      </c>
      <c r="B39" s="80">
        <v>8533.55746</v>
      </c>
      <c r="C39" s="80">
        <v>8836.866</v>
      </c>
      <c r="D39" s="80">
        <v>303.30853999999948</v>
      </c>
      <c r="E39" s="76">
        <v>1</v>
      </c>
    </row>
    <row r="40" spans="1:5" x14ac:dyDescent="0.3">
      <c r="A40" s="81" t="s">
        <v>48</v>
      </c>
      <c r="B40" s="80">
        <v>4046.3620000000001</v>
      </c>
      <c r="C40" s="80">
        <v>4046.3620000000001</v>
      </c>
      <c r="D40" s="80" t="s">
        <v>23</v>
      </c>
      <c r="E40" s="76">
        <v>1</v>
      </c>
    </row>
    <row r="41" spans="1:5" x14ac:dyDescent="0.3">
      <c r="A41" s="81" t="s">
        <v>49</v>
      </c>
      <c r="B41" s="80">
        <v>6920.8843513000002</v>
      </c>
      <c r="C41" s="80">
        <v>6923.4304112999998</v>
      </c>
      <c r="D41" s="80">
        <v>2.5460600000000002</v>
      </c>
      <c r="E41" s="76">
        <v>1</v>
      </c>
    </row>
    <row r="42" spans="1:5" x14ac:dyDescent="0.3">
      <c r="A42" s="81" t="s">
        <v>312</v>
      </c>
      <c r="B42" s="80">
        <v>776909.61961199087</v>
      </c>
      <c r="C42" s="80">
        <v>778859.81961199082</v>
      </c>
      <c r="D42" s="80">
        <v>1950.2</v>
      </c>
      <c r="E42" s="76">
        <v>0</v>
      </c>
    </row>
    <row r="43" spans="1:5" x14ac:dyDescent="0.3">
      <c r="A43" s="81" t="s">
        <v>51</v>
      </c>
      <c r="B43" s="80">
        <v>1993.557</v>
      </c>
      <c r="C43" s="80">
        <v>1993.557</v>
      </c>
      <c r="D43" s="80" t="s">
        <v>23</v>
      </c>
      <c r="E43" s="76">
        <v>1</v>
      </c>
    </row>
    <row r="44" spans="1:5" x14ac:dyDescent="0.3">
      <c r="A44" s="81" t="s">
        <v>53</v>
      </c>
      <c r="B44" s="80">
        <v>1131.4526572321429</v>
      </c>
      <c r="C44" s="80">
        <v>1132.2214228571429</v>
      </c>
      <c r="D44" s="80">
        <v>0.76876562500000001</v>
      </c>
      <c r="E44" s="76">
        <v>1</v>
      </c>
    </row>
    <row r="45" spans="1:5" x14ac:dyDescent="0.3">
      <c r="A45" s="81" t="s">
        <v>55</v>
      </c>
      <c r="B45" s="80">
        <v>15096.942926135271</v>
      </c>
      <c r="C45" s="80">
        <v>15096.942926135271</v>
      </c>
      <c r="D45" s="80" t="s">
        <v>23</v>
      </c>
      <c r="E45" s="76">
        <v>1</v>
      </c>
    </row>
    <row r="46" spans="1:5" x14ac:dyDescent="0.3">
      <c r="A46" s="81" t="s">
        <v>56</v>
      </c>
      <c r="B46" s="80">
        <v>23822.369953000001</v>
      </c>
      <c r="C46" s="80">
        <v>27809.067171999999</v>
      </c>
      <c r="D46" s="80">
        <v>3986.6972190000001</v>
      </c>
      <c r="E46" s="76">
        <v>1</v>
      </c>
    </row>
    <row r="47" spans="1:5" x14ac:dyDescent="0.3">
      <c r="A47" s="81" t="s">
        <v>313</v>
      </c>
      <c r="B47" s="80">
        <v>1198.339869669212</v>
      </c>
      <c r="C47" s="80">
        <v>1202.014618548111</v>
      </c>
      <c r="D47" s="80">
        <v>3.67474887889886</v>
      </c>
      <c r="E47" s="76">
        <v>0</v>
      </c>
    </row>
    <row r="48" spans="1:5" x14ac:dyDescent="0.3">
      <c r="A48" s="81" t="s">
        <v>314</v>
      </c>
      <c r="B48" s="80">
        <v>22909.867445230135</v>
      </c>
      <c r="C48" s="80">
        <v>22909.867445230135</v>
      </c>
      <c r="D48" s="80" t="s">
        <v>23</v>
      </c>
      <c r="E48" s="76">
        <v>0</v>
      </c>
    </row>
    <row r="49" spans="1:5" x14ac:dyDescent="0.3">
      <c r="A49" s="81" t="s">
        <v>315</v>
      </c>
      <c r="B49" s="80">
        <v>10201.493078036332</v>
      </c>
      <c r="C49" s="80">
        <v>10394.193078036333</v>
      </c>
      <c r="D49" s="80">
        <v>192.7</v>
      </c>
      <c r="E49" s="76">
        <v>0</v>
      </c>
    </row>
    <row r="50" spans="1:5" x14ac:dyDescent="0.3">
      <c r="A50" s="81" t="s">
        <v>142</v>
      </c>
      <c r="B50" s="80">
        <v>3040.4285614065279</v>
      </c>
      <c r="C50" s="80">
        <v>3267.5937907876487</v>
      </c>
      <c r="D50" s="80">
        <v>227.16522938112078</v>
      </c>
      <c r="E50" s="76">
        <v>0</v>
      </c>
    </row>
    <row r="51" spans="1:5" x14ac:dyDescent="0.3">
      <c r="A51" s="81" t="s">
        <v>316</v>
      </c>
      <c r="B51" s="80">
        <v>272847.74356358033</v>
      </c>
      <c r="C51" s="80">
        <v>279787.44356358034</v>
      </c>
      <c r="D51" s="80">
        <v>6939.7</v>
      </c>
      <c r="E51" s="76">
        <v>0</v>
      </c>
    </row>
    <row r="54" spans="1:5" x14ac:dyDescent="0.3">
      <c r="A54" s="77" t="s">
        <v>135</v>
      </c>
      <c r="B54" s="76"/>
      <c r="C54" s="76"/>
      <c r="D54" s="76"/>
      <c r="E54" s="76"/>
    </row>
    <row r="55" spans="1:5" x14ac:dyDescent="0.3">
      <c r="A55" s="77" t="s">
        <v>136</v>
      </c>
      <c r="B55" s="76"/>
      <c r="C55" s="76"/>
      <c r="D55" s="76"/>
      <c r="E55" s="76"/>
    </row>
    <row r="56" spans="1:5" x14ac:dyDescent="0.3">
      <c r="A56" s="77" t="s">
        <v>137</v>
      </c>
      <c r="B56" s="76"/>
      <c r="C56" s="76"/>
      <c r="D56" s="76"/>
      <c r="E56" s="76"/>
    </row>
    <row r="57" spans="1:5" x14ac:dyDescent="0.3">
      <c r="A57" s="77" t="s">
        <v>138</v>
      </c>
      <c r="B57" s="76"/>
      <c r="C57" s="76"/>
      <c r="D57" s="76"/>
      <c r="E57" s="76"/>
    </row>
    <row r="59" spans="1:5" x14ac:dyDescent="0.3">
      <c r="A59" s="77" t="s">
        <v>139</v>
      </c>
      <c r="B59" s="76"/>
      <c r="C59" s="76"/>
      <c r="D59" s="76"/>
      <c r="E59" s="76"/>
    </row>
    <row r="61" spans="1:5" x14ac:dyDescent="0.3">
      <c r="A61" s="77" t="s">
        <v>330</v>
      </c>
      <c r="B61" s="76"/>
      <c r="C61" s="76"/>
      <c r="D61" s="76"/>
      <c r="E61" s="76"/>
    </row>
  </sheetData>
  <mergeCells count="1">
    <mergeCell ref="B4:D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5" workbookViewId="0">
      <selection activeCell="B5" sqref="B5:B51"/>
    </sheetView>
  </sheetViews>
  <sheetFormatPr baseColWidth="10" defaultColWidth="11.44140625" defaultRowHeight="14.4" x14ac:dyDescent="0.3"/>
  <cols>
    <col min="5" max="5" width="11.5546875" style="27"/>
  </cols>
  <sheetData>
    <row r="1" spans="1:5" x14ac:dyDescent="0.3">
      <c r="A1" s="86" t="s">
        <v>292</v>
      </c>
      <c r="B1" s="73"/>
      <c r="C1" s="73"/>
      <c r="D1" s="73"/>
      <c r="E1" s="76"/>
    </row>
    <row r="2" spans="1:5" x14ac:dyDescent="0.3">
      <c r="A2" s="77" t="s">
        <v>331</v>
      </c>
      <c r="B2" s="76"/>
      <c r="C2" s="76"/>
      <c r="D2" s="76"/>
      <c r="E2" s="76"/>
    </row>
    <row r="4" spans="1:5" x14ac:dyDescent="0.3">
      <c r="A4" s="86" t="s">
        <v>124</v>
      </c>
      <c r="B4" s="181" t="s">
        <v>125</v>
      </c>
      <c r="C4" s="181"/>
      <c r="D4" s="181"/>
      <c r="E4" s="76"/>
    </row>
    <row r="5" spans="1:5" x14ac:dyDescent="0.3">
      <c r="A5" s="86" t="s">
        <v>295</v>
      </c>
      <c r="B5" s="86" t="s">
        <v>296</v>
      </c>
      <c r="C5" s="86" t="s">
        <v>297</v>
      </c>
      <c r="D5" s="86" t="s">
        <v>298</v>
      </c>
      <c r="E5" s="76" t="s">
        <v>72</v>
      </c>
    </row>
    <row r="6" spans="1:5" x14ac:dyDescent="0.3">
      <c r="A6" s="86" t="s">
        <v>299</v>
      </c>
      <c r="B6" s="86" t="s">
        <v>300</v>
      </c>
      <c r="C6" s="86" t="s">
        <v>300</v>
      </c>
      <c r="D6" s="86" t="s">
        <v>300</v>
      </c>
      <c r="E6" s="76"/>
    </row>
    <row r="7" spans="1:5" x14ac:dyDescent="0.3">
      <c r="A7" s="81" t="s">
        <v>301</v>
      </c>
      <c r="B7" s="80">
        <v>12977.334611588811</v>
      </c>
      <c r="C7" s="80">
        <v>12977.334611588811</v>
      </c>
      <c r="D7" s="80" t="s">
        <v>332</v>
      </c>
      <c r="E7" s="76">
        <v>0</v>
      </c>
    </row>
    <row r="8" spans="1:5" x14ac:dyDescent="0.3">
      <c r="A8" s="81" t="s">
        <v>17</v>
      </c>
      <c r="B8" s="80">
        <v>105.23281039002988</v>
      </c>
      <c r="C8" s="80">
        <v>127.47181039002987</v>
      </c>
      <c r="D8" s="80">
        <v>22.239000000000001</v>
      </c>
      <c r="E8" s="76">
        <v>1</v>
      </c>
    </row>
    <row r="9" spans="1:5" x14ac:dyDescent="0.3">
      <c r="A9" s="81" t="s">
        <v>303</v>
      </c>
      <c r="B9" s="80" t="s">
        <v>50</v>
      </c>
      <c r="C9" s="80">
        <v>8.3221000000000007</v>
      </c>
      <c r="D9" s="80">
        <v>8.3221000000000007</v>
      </c>
      <c r="E9" s="76">
        <v>0</v>
      </c>
    </row>
    <row r="10" spans="1:5" x14ac:dyDescent="0.3">
      <c r="A10" s="81" t="s">
        <v>26</v>
      </c>
      <c r="B10" s="80">
        <v>50.685297258698803</v>
      </c>
      <c r="C10" s="80">
        <v>50.685297258698803</v>
      </c>
      <c r="D10" s="80" t="s">
        <v>23</v>
      </c>
      <c r="E10" s="76">
        <v>1</v>
      </c>
    </row>
    <row r="11" spans="1:5" x14ac:dyDescent="0.3">
      <c r="A11" s="81" t="s">
        <v>64</v>
      </c>
      <c r="B11" s="80">
        <v>216.494038125</v>
      </c>
      <c r="C11" s="80">
        <v>216.494038125</v>
      </c>
      <c r="D11" s="80" t="s">
        <v>23</v>
      </c>
      <c r="E11" s="76">
        <v>1</v>
      </c>
    </row>
    <row r="12" spans="1:5" x14ac:dyDescent="0.3">
      <c r="A12" s="81" t="s">
        <v>304</v>
      </c>
      <c r="B12" s="80">
        <v>408.43902100000003</v>
      </c>
      <c r="C12" s="80">
        <v>443.10781100000003</v>
      </c>
      <c r="D12" s="80">
        <v>34.668790000000001</v>
      </c>
      <c r="E12" s="76">
        <v>0</v>
      </c>
    </row>
    <row r="13" spans="1:5" x14ac:dyDescent="0.3">
      <c r="A13" s="81" t="s">
        <v>29</v>
      </c>
      <c r="B13" s="80">
        <v>74.209377163780005</v>
      </c>
      <c r="C13" s="80">
        <v>74.209377163780005</v>
      </c>
      <c r="D13" s="80" t="s">
        <v>23</v>
      </c>
      <c r="E13" s="76">
        <v>1</v>
      </c>
    </row>
    <row r="14" spans="1:5" x14ac:dyDescent="0.3">
      <c r="A14" s="81" t="s">
        <v>60</v>
      </c>
      <c r="B14" s="80">
        <v>4.0725206509999996</v>
      </c>
      <c r="C14" s="80">
        <v>4.0725206509999996</v>
      </c>
      <c r="D14" s="80" t="s">
        <v>23</v>
      </c>
      <c r="E14" s="76">
        <v>1</v>
      </c>
    </row>
    <row r="15" spans="1:5" x14ac:dyDescent="0.3">
      <c r="A15" s="81" t="s">
        <v>62</v>
      </c>
      <c r="B15" s="80">
        <v>153.42137</v>
      </c>
      <c r="C15" s="80">
        <v>153.42137</v>
      </c>
      <c r="D15" s="80" t="s">
        <v>23</v>
      </c>
      <c r="E15" s="76">
        <v>1</v>
      </c>
    </row>
    <row r="16" spans="1:5" x14ac:dyDescent="0.3">
      <c r="A16" s="81" t="s">
        <v>61</v>
      </c>
      <c r="B16" s="80">
        <v>101.17704237</v>
      </c>
      <c r="C16" s="80">
        <v>104.8344639046756</v>
      </c>
      <c r="D16" s="80">
        <v>3.6574215346756</v>
      </c>
      <c r="E16" s="76">
        <v>1</v>
      </c>
    </row>
    <row r="17" spans="1:5" x14ac:dyDescent="0.3">
      <c r="A17" s="81" t="s">
        <v>63</v>
      </c>
      <c r="B17" s="80" t="s">
        <v>23</v>
      </c>
      <c r="C17" s="80">
        <v>25.145</v>
      </c>
      <c r="D17" s="80">
        <v>25.145</v>
      </c>
      <c r="E17" s="76">
        <v>1</v>
      </c>
    </row>
    <row r="18" spans="1:5" x14ac:dyDescent="0.3">
      <c r="A18" s="81" t="s">
        <v>130</v>
      </c>
      <c r="B18" s="80">
        <v>6538.3609549343482</v>
      </c>
      <c r="C18" s="80">
        <v>22649.683806633511</v>
      </c>
      <c r="D18" s="80">
        <v>16111.322851699164</v>
      </c>
      <c r="E18" s="76">
        <v>0</v>
      </c>
    </row>
    <row r="19" spans="1:5" x14ac:dyDescent="0.3">
      <c r="A19" s="81" t="s">
        <v>305</v>
      </c>
      <c r="B19" s="80">
        <v>6797.7513873321977</v>
      </c>
      <c r="C19" s="80">
        <v>23590.075880594311</v>
      </c>
      <c r="D19" s="80">
        <v>16792.324493262113</v>
      </c>
      <c r="E19" s="76">
        <v>0</v>
      </c>
    </row>
    <row r="20" spans="1:5" x14ac:dyDescent="0.3">
      <c r="A20" s="81" t="s">
        <v>31</v>
      </c>
      <c r="B20" s="80" t="s">
        <v>23</v>
      </c>
      <c r="C20" s="80">
        <v>6424.2269999999999</v>
      </c>
      <c r="D20" s="80">
        <v>6424.2269999999999</v>
      </c>
      <c r="E20" s="76">
        <v>1</v>
      </c>
    </row>
    <row r="21" spans="1:5" x14ac:dyDescent="0.3">
      <c r="A21" s="81" t="s">
        <v>34</v>
      </c>
      <c r="B21" s="80">
        <v>933.95350941000004</v>
      </c>
      <c r="C21" s="80">
        <v>933.95350941000004</v>
      </c>
      <c r="D21" s="80" t="s">
        <v>322</v>
      </c>
      <c r="E21" s="76">
        <v>1</v>
      </c>
    </row>
    <row r="22" spans="1:5" x14ac:dyDescent="0.3">
      <c r="A22" s="81" t="s">
        <v>35</v>
      </c>
      <c r="B22" s="80">
        <v>488.78399999999999</v>
      </c>
      <c r="C22" s="80">
        <v>589.88699999999994</v>
      </c>
      <c r="D22" s="80">
        <v>101.10299999999999</v>
      </c>
      <c r="E22" s="76">
        <v>1</v>
      </c>
    </row>
    <row r="23" spans="1:5" x14ac:dyDescent="0.3">
      <c r="A23" s="81" t="s">
        <v>36</v>
      </c>
      <c r="B23" s="80">
        <v>299.66706678571398</v>
      </c>
      <c r="C23" s="80">
        <v>299.66706678571398</v>
      </c>
      <c r="D23" s="80" t="s">
        <v>23</v>
      </c>
      <c r="E23" s="76">
        <v>1</v>
      </c>
    </row>
    <row r="24" spans="1:5" x14ac:dyDescent="0.3">
      <c r="A24" s="81" t="s">
        <v>38</v>
      </c>
      <c r="B24" s="80">
        <v>256.34892039571952</v>
      </c>
      <c r="C24" s="80">
        <v>257.13292039571951</v>
      </c>
      <c r="D24" s="80">
        <v>0.78400000000000003</v>
      </c>
      <c r="E24" s="76">
        <v>1</v>
      </c>
    </row>
    <row r="25" spans="1:5" x14ac:dyDescent="0.3">
      <c r="A25" s="81" t="s">
        <v>306</v>
      </c>
      <c r="B25" s="80">
        <v>258.93011065079622</v>
      </c>
      <c r="C25" s="80">
        <v>939.07202599229674</v>
      </c>
      <c r="D25" s="80">
        <v>680.14191534150052</v>
      </c>
      <c r="E25" s="76">
        <v>0</v>
      </c>
    </row>
    <row r="26" spans="1:5" x14ac:dyDescent="0.3">
      <c r="A26" s="81" t="s">
        <v>39</v>
      </c>
      <c r="B26" s="80" t="s">
        <v>23</v>
      </c>
      <c r="C26" s="80">
        <v>1221.1274068237956</v>
      </c>
      <c r="D26" s="80">
        <v>1221.1274068237956</v>
      </c>
      <c r="E26" s="76">
        <v>1</v>
      </c>
    </row>
    <row r="27" spans="1:5" x14ac:dyDescent="0.3">
      <c r="A27" s="81" t="s">
        <v>40</v>
      </c>
      <c r="B27" s="80">
        <v>513.84953500000017</v>
      </c>
      <c r="C27" s="80">
        <v>513.84953500000017</v>
      </c>
      <c r="D27" s="80" t="s">
        <v>23</v>
      </c>
      <c r="E27" s="76">
        <v>1</v>
      </c>
    </row>
    <row r="28" spans="1:5" x14ac:dyDescent="0.3">
      <c r="A28" s="81" t="s">
        <v>307</v>
      </c>
      <c r="B28" s="80">
        <v>1292.027815512135</v>
      </c>
      <c r="C28" s="80">
        <v>1337.019221699135</v>
      </c>
      <c r="D28" s="80">
        <v>44.991406186999939</v>
      </c>
      <c r="E28" s="76">
        <v>0</v>
      </c>
    </row>
    <row r="29" spans="1:5" x14ac:dyDescent="0.3">
      <c r="A29" s="81" t="s">
        <v>308</v>
      </c>
      <c r="B29" s="80">
        <v>8925</v>
      </c>
      <c r="C29" s="80">
        <v>8925</v>
      </c>
      <c r="D29" s="80" t="s">
        <v>23</v>
      </c>
      <c r="E29" s="76">
        <v>0</v>
      </c>
    </row>
    <row r="30" spans="1:5" x14ac:dyDescent="0.3">
      <c r="A30" s="81" t="s">
        <v>41</v>
      </c>
      <c r="B30" s="80" t="s">
        <v>322</v>
      </c>
      <c r="C30" s="80">
        <v>349.90159599999998</v>
      </c>
      <c r="D30" s="80">
        <v>349.90159599999998</v>
      </c>
      <c r="E30" s="76">
        <v>1</v>
      </c>
    </row>
    <row r="31" spans="1:5" x14ac:dyDescent="0.3">
      <c r="A31" s="81" t="s">
        <v>309</v>
      </c>
      <c r="B31" s="80">
        <v>0.28481333333332998</v>
      </c>
      <c r="C31" s="80">
        <v>0.28481333333332998</v>
      </c>
      <c r="D31" s="80" t="s">
        <v>23</v>
      </c>
      <c r="E31" s="76">
        <v>0</v>
      </c>
    </row>
    <row r="32" spans="1:5" x14ac:dyDescent="0.3">
      <c r="A32" s="81" t="s">
        <v>42</v>
      </c>
      <c r="B32" s="80" t="s">
        <v>23</v>
      </c>
      <c r="C32" s="80">
        <v>350.21252425555997</v>
      </c>
      <c r="D32" s="80">
        <v>350.21252425555997</v>
      </c>
      <c r="E32" s="76">
        <v>1</v>
      </c>
    </row>
    <row r="33" spans="1:5" x14ac:dyDescent="0.3">
      <c r="A33" s="81" t="s">
        <v>43</v>
      </c>
      <c r="B33" s="80">
        <v>1.01488857372825</v>
      </c>
      <c r="C33" s="80">
        <v>1.01488857372825</v>
      </c>
      <c r="D33" s="80" t="s">
        <v>23</v>
      </c>
      <c r="E33" s="76">
        <v>1</v>
      </c>
    </row>
    <row r="34" spans="1:5" x14ac:dyDescent="0.3">
      <c r="A34" s="81" t="s">
        <v>44</v>
      </c>
      <c r="B34" s="80">
        <v>2.5000000000000001E-2</v>
      </c>
      <c r="C34" s="80">
        <v>2.5000000000000001E-2</v>
      </c>
      <c r="D34" s="80" t="s">
        <v>23</v>
      </c>
      <c r="E34" s="76">
        <v>1</v>
      </c>
    </row>
    <row r="35" spans="1:5" x14ac:dyDescent="0.3">
      <c r="A35" s="81" t="s">
        <v>310</v>
      </c>
      <c r="B35" s="80" t="s">
        <v>23</v>
      </c>
      <c r="C35" s="80" t="s">
        <v>23</v>
      </c>
      <c r="D35" s="80" t="s">
        <v>23</v>
      </c>
      <c r="E35" s="76">
        <v>0</v>
      </c>
    </row>
    <row r="36" spans="1:5" x14ac:dyDescent="0.3">
      <c r="A36" s="81" t="s">
        <v>45</v>
      </c>
      <c r="B36" s="80">
        <v>756.10040314999992</v>
      </c>
      <c r="C36" s="80">
        <v>770.81590466</v>
      </c>
      <c r="D36" s="80">
        <v>14.715501509999999</v>
      </c>
      <c r="E36" s="76">
        <v>1</v>
      </c>
    </row>
    <row r="37" spans="1:5" x14ac:dyDescent="0.3">
      <c r="A37" s="81" t="s">
        <v>311</v>
      </c>
      <c r="B37" s="80">
        <v>691.5944529374359</v>
      </c>
      <c r="C37" s="80">
        <v>754.09645959812997</v>
      </c>
      <c r="D37" s="80">
        <v>62.502006660694079</v>
      </c>
      <c r="E37" s="76">
        <v>0</v>
      </c>
    </row>
    <row r="38" spans="1:5" x14ac:dyDescent="0.3">
      <c r="A38" s="81" t="s">
        <v>193</v>
      </c>
      <c r="B38" s="80">
        <v>2018.35869</v>
      </c>
      <c r="C38" s="80">
        <v>3718.18869</v>
      </c>
      <c r="D38" s="80">
        <v>1699.83</v>
      </c>
      <c r="E38" s="76">
        <v>0</v>
      </c>
    </row>
    <row r="39" spans="1:5" x14ac:dyDescent="0.3">
      <c r="A39" s="81" t="s">
        <v>46</v>
      </c>
      <c r="B39" s="80">
        <v>1045.7869999999998</v>
      </c>
      <c r="C39" s="80">
        <v>1311.1369999999997</v>
      </c>
      <c r="D39" s="80">
        <v>265.35000000000002</v>
      </c>
      <c r="E39" s="76">
        <v>1</v>
      </c>
    </row>
    <row r="40" spans="1:5" x14ac:dyDescent="0.3">
      <c r="A40" s="81" t="s">
        <v>48</v>
      </c>
      <c r="B40" s="80">
        <v>171.268</v>
      </c>
      <c r="C40" s="80">
        <v>171.268</v>
      </c>
      <c r="D40" s="80" t="s">
        <v>23</v>
      </c>
      <c r="E40" s="76">
        <v>1</v>
      </c>
    </row>
    <row r="41" spans="1:5" x14ac:dyDescent="0.3">
      <c r="A41" s="81" t="s">
        <v>49</v>
      </c>
      <c r="B41" s="80">
        <v>709.04407424125804</v>
      </c>
      <c r="C41" s="80">
        <v>709.04407424125804</v>
      </c>
      <c r="D41" s="80" t="s">
        <v>322</v>
      </c>
      <c r="E41" s="76">
        <v>1</v>
      </c>
    </row>
    <row r="42" spans="1:5" x14ac:dyDescent="0.3">
      <c r="A42" s="81" t="s">
        <v>312</v>
      </c>
      <c r="B42" s="80" t="s">
        <v>322</v>
      </c>
      <c r="C42" s="80">
        <v>201476.74600230061</v>
      </c>
      <c r="D42" s="80">
        <v>201476.74600230061</v>
      </c>
      <c r="E42" s="76">
        <v>0</v>
      </c>
    </row>
    <row r="43" spans="1:5" x14ac:dyDescent="0.3">
      <c r="A43" s="81" t="s">
        <v>51</v>
      </c>
      <c r="B43" s="80">
        <v>94</v>
      </c>
      <c r="C43" s="80">
        <v>94</v>
      </c>
      <c r="D43" s="80" t="s">
        <v>23</v>
      </c>
      <c r="E43" s="76">
        <v>1</v>
      </c>
    </row>
    <row r="44" spans="1:5" x14ac:dyDescent="0.3">
      <c r="A44" s="81" t="s">
        <v>53</v>
      </c>
      <c r="B44" s="80">
        <v>13.452857142857139</v>
      </c>
      <c r="C44" s="80">
        <v>13.452857142857139</v>
      </c>
      <c r="D44" s="80" t="s">
        <v>54</v>
      </c>
      <c r="E44" s="76">
        <v>1</v>
      </c>
    </row>
    <row r="45" spans="1:5" x14ac:dyDescent="0.3">
      <c r="A45" s="81" t="s">
        <v>55</v>
      </c>
      <c r="B45" s="80">
        <v>409.33369558756283</v>
      </c>
      <c r="C45" s="80">
        <v>409.33628216269631</v>
      </c>
      <c r="D45" s="80">
        <v>2.5865751334900001E-3</v>
      </c>
      <c r="E45" s="76">
        <v>1</v>
      </c>
    </row>
    <row r="46" spans="1:5" x14ac:dyDescent="0.3">
      <c r="A46" s="81" t="s">
        <v>56</v>
      </c>
      <c r="B46" s="80" t="s">
        <v>23</v>
      </c>
      <c r="C46" s="80">
        <v>7329.9008100000001</v>
      </c>
      <c r="D46" s="80">
        <v>7329.9008100000001</v>
      </c>
      <c r="E46" s="76">
        <v>1</v>
      </c>
    </row>
    <row r="47" spans="1:5" x14ac:dyDescent="0.3">
      <c r="A47" s="81" t="s">
        <v>313</v>
      </c>
      <c r="B47" s="80">
        <v>179.04371117215999</v>
      </c>
      <c r="C47" s="80">
        <v>182.84027801642682</v>
      </c>
      <c r="D47" s="80">
        <v>3.7965668442668399</v>
      </c>
      <c r="E47" s="76">
        <v>0</v>
      </c>
    </row>
    <row r="48" spans="1:5" x14ac:dyDescent="0.3">
      <c r="A48" s="81" t="s">
        <v>314</v>
      </c>
      <c r="B48" s="80">
        <v>1801.120324246464</v>
      </c>
      <c r="C48" s="80">
        <v>1801.1323242464639</v>
      </c>
      <c r="D48" s="80">
        <v>1.2E-2</v>
      </c>
      <c r="E48" s="76">
        <v>0</v>
      </c>
    </row>
    <row r="49" spans="1:5" x14ac:dyDescent="0.3">
      <c r="A49" s="81" t="s">
        <v>315</v>
      </c>
      <c r="B49" s="80" t="s">
        <v>23</v>
      </c>
      <c r="C49" s="80">
        <v>3325.8961024284631</v>
      </c>
      <c r="D49" s="80">
        <v>3325.8961024284631</v>
      </c>
      <c r="E49" s="76">
        <v>0</v>
      </c>
    </row>
    <row r="50" spans="1:5" x14ac:dyDescent="0.3">
      <c r="A50" s="81" t="s">
        <v>142</v>
      </c>
      <c r="B50" s="80">
        <v>163.17645174705331</v>
      </c>
      <c r="C50" s="80">
        <v>166.99318296850186</v>
      </c>
      <c r="D50" s="80">
        <v>3.8167312214485598</v>
      </c>
      <c r="E50" s="76">
        <v>0</v>
      </c>
    </row>
    <row r="51" spans="1:5" x14ac:dyDescent="0.3">
      <c r="A51" s="81" t="s">
        <v>316</v>
      </c>
      <c r="B51" s="80">
        <v>4698.2546127796513</v>
      </c>
      <c r="C51" s="80">
        <v>22107.562987272071</v>
      </c>
      <c r="D51" s="80">
        <v>17409.308374492419</v>
      </c>
      <c r="E51" s="76">
        <v>0</v>
      </c>
    </row>
    <row r="54" spans="1:5" x14ac:dyDescent="0.3">
      <c r="A54" s="77" t="s">
        <v>135</v>
      </c>
      <c r="B54" s="76"/>
      <c r="C54" s="76"/>
      <c r="D54" s="76"/>
      <c r="E54" s="76"/>
    </row>
    <row r="55" spans="1:5" x14ac:dyDescent="0.3">
      <c r="A55" s="77" t="s">
        <v>136</v>
      </c>
      <c r="B55" s="76"/>
      <c r="C55" s="76"/>
      <c r="D55" s="76"/>
      <c r="E55" s="76"/>
    </row>
    <row r="56" spans="1:5" x14ac:dyDescent="0.3">
      <c r="A56" s="77" t="s">
        <v>137</v>
      </c>
      <c r="B56" s="76"/>
      <c r="C56" s="76"/>
      <c r="D56" s="76"/>
      <c r="E56" s="76"/>
    </row>
    <row r="57" spans="1:5" x14ac:dyDescent="0.3">
      <c r="A57" s="77" t="s">
        <v>138</v>
      </c>
      <c r="B57" s="76"/>
      <c r="C57" s="76"/>
      <c r="D57" s="76"/>
      <c r="E57" s="76"/>
    </row>
    <row r="59" spans="1:5" x14ac:dyDescent="0.3">
      <c r="A59" s="77" t="s">
        <v>139</v>
      </c>
      <c r="B59" s="76"/>
      <c r="C59" s="76"/>
      <c r="D59" s="76"/>
      <c r="E59" s="76"/>
    </row>
    <row r="61" spans="1:5" x14ac:dyDescent="0.3">
      <c r="A61" s="77" t="s">
        <v>333</v>
      </c>
      <c r="B61" s="76"/>
      <c r="C61" s="76"/>
      <c r="D61" s="76"/>
      <c r="E61" s="76"/>
    </row>
  </sheetData>
  <mergeCells count="1">
    <mergeCell ref="B4:D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workbookViewId="0">
      <selection activeCell="D9" sqref="D9"/>
    </sheetView>
  </sheetViews>
  <sheetFormatPr baseColWidth="10" defaultRowHeight="14.4" x14ac:dyDescent="0.3"/>
  <cols>
    <col min="4" max="4" width="11.44140625" style="76"/>
  </cols>
  <sheetData>
    <row r="1" spans="1:12" x14ac:dyDescent="0.3">
      <c r="F1" t="s">
        <v>384</v>
      </c>
      <c r="J1" t="s">
        <v>385</v>
      </c>
    </row>
    <row r="2" spans="1:12" ht="22.8" x14ac:dyDescent="0.3">
      <c r="F2" s="96" t="s">
        <v>362</v>
      </c>
      <c r="G2" s="179" t="s">
        <v>363</v>
      </c>
      <c r="H2" s="97" t="s">
        <v>364</v>
      </c>
      <c r="J2" s="96" t="s">
        <v>362</v>
      </c>
      <c r="K2" s="179" t="s">
        <v>363</v>
      </c>
      <c r="L2" s="97" t="s">
        <v>364</v>
      </c>
    </row>
    <row r="3" spans="1:12" x14ac:dyDescent="0.3">
      <c r="F3" s="173" t="s">
        <v>365</v>
      </c>
      <c r="G3" s="182"/>
      <c r="H3" s="98" t="s">
        <v>16</v>
      </c>
      <c r="J3" s="173" t="s">
        <v>365</v>
      </c>
      <c r="K3" s="182"/>
      <c r="L3" s="98" t="s">
        <v>16</v>
      </c>
    </row>
    <row r="4" spans="1:12" ht="15" thickBot="1" x14ac:dyDescent="0.35">
      <c r="F4" s="175"/>
      <c r="G4" s="183"/>
      <c r="H4" s="99" t="s">
        <v>366</v>
      </c>
      <c r="J4" s="175"/>
      <c r="K4" s="183"/>
      <c r="L4" s="99" t="s">
        <v>366</v>
      </c>
    </row>
    <row r="5" spans="1:12" ht="34.799999999999997" thickTop="1" x14ac:dyDescent="0.3">
      <c r="F5" s="100" t="s">
        <v>367</v>
      </c>
      <c r="G5" s="101" t="s">
        <v>167</v>
      </c>
      <c r="H5" s="101" t="s">
        <v>167</v>
      </c>
      <c r="J5" s="100" t="s">
        <v>367</v>
      </c>
      <c r="K5" s="101" t="s">
        <v>167</v>
      </c>
      <c r="L5" s="101" t="s">
        <v>167</v>
      </c>
    </row>
    <row r="6" spans="1:12" x14ac:dyDescent="0.3">
      <c r="A6" t="s">
        <v>398</v>
      </c>
      <c r="B6" t="s">
        <v>399</v>
      </c>
      <c r="C6" t="s">
        <v>112</v>
      </c>
      <c r="D6" s="76" t="s">
        <v>400</v>
      </c>
      <c r="F6" s="102" t="s">
        <v>368</v>
      </c>
      <c r="G6" s="101" t="s">
        <v>167</v>
      </c>
      <c r="H6" s="101" t="s">
        <v>167</v>
      </c>
      <c r="J6" s="102" t="s">
        <v>368</v>
      </c>
      <c r="K6" s="101" t="s">
        <v>167</v>
      </c>
      <c r="L6" s="101" t="s">
        <v>167</v>
      </c>
    </row>
    <row r="7" spans="1:12" x14ac:dyDescent="0.3">
      <c r="A7" t="s">
        <v>384</v>
      </c>
      <c r="B7" s="22">
        <f>+H11+H19+H27+H44</f>
        <v>57908.092141750894</v>
      </c>
      <c r="C7" s="22">
        <f>+B7+D7</f>
        <v>67701.770437014318</v>
      </c>
      <c r="D7" s="22">
        <f>+H7+H15+H23+H32+H40</f>
        <v>9793.6782952634185</v>
      </c>
      <c r="F7" s="103" t="s">
        <v>357</v>
      </c>
      <c r="G7" s="101"/>
      <c r="H7" s="104">
        <v>7126.701498748761</v>
      </c>
      <c r="J7" s="103" t="s">
        <v>357</v>
      </c>
      <c r="K7" s="101"/>
      <c r="L7" s="104">
        <v>239.25231084594841</v>
      </c>
    </row>
    <row r="8" spans="1:12" x14ac:dyDescent="0.3">
      <c r="A8" t="s">
        <v>385</v>
      </c>
      <c r="B8" s="22">
        <f>+L17</f>
        <v>954.4001206508924</v>
      </c>
      <c r="C8" s="22">
        <f t="shared" ref="C8:C9" si="0">+B8+D8</f>
        <v>1194.0028814968409</v>
      </c>
      <c r="D8" s="22">
        <f>+L7+L61</f>
        <v>239.60276084594841</v>
      </c>
      <c r="F8" s="105" t="s">
        <v>369</v>
      </c>
      <c r="G8" s="101"/>
      <c r="H8" s="104">
        <v>7090.6468217487609</v>
      </c>
      <c r="J8" s="105" t="s">
        <v>369</v>
      </c>
      <c r="K8" s="101"/>
      <c r="L8" s="104">
        <v>239.25231084594841</v>
      </c>
    </row>
    <row r="9" spans="1:12" x14ac:dyDescent="0.3">
      <c r="A9" t="s">
        <v>401</v>
      </c>
      <c r="B9" s="22">
        <f>+B7-B8</f>
        <v>56953.692021100003</v>
      </c>
      <c r="C9" s="22">
        <f t="shared" si="0"/>
        <v>57193.294781945951</v>
      </c>
      <c r="D9" s="22">
        <f>+L8+L62</f>
        <v>239.60276084594841</v>
      </c>
      <c r="F9" s="105" t="s">
        <v>370</v>
      </c>
      <c r="G9" s="101"/>
      <c r="H9" s="104">
        <v>36.054676999999998</v>
      </c>
      <c r="J9" s="111" t="s">
        <v>386</v>
      </c>
      <c r="K9" s="112" t="s">
        <v>386</v>
      </c>
      <c r="L9" s="112" t="s">
        <v>23</v>
      </c>
    </row>
    <row r="10" spans="1:12" x14ac:dyDescent="0.3">
      <c r="F10" s="106" t="s">
        <v>371</v>
      </c>
      <c r="G10" s="101"/>
      <c r="H10" s="104" t="s">
        <v>328</v>
      </c>
      <c r="J10" s="111" t="s">
        <v>387</v>
      </c>
      <c r="K10" s="112" t="s">
        <v>387</v>
      </c>
      <c r="L10" s="112">
        <v>49.118524806516398</v>
      </c>
    </row>
    <row r="11" spans="1:12" x14ac:dyDescent="0.3">
      <c r="F11" s="103" t="s">
        <v>372</v>
      </c>
      <c r="G11" s="101"/>
      <c r="H11" s="104">
        <v>24631.167053650894</v>
      </c>
      <c r="J11" s="111" t="s">
        <v>388</v>
      </c>
      <c r="K11" s="112" t="s">
        <v>388</v>
      </c>
      <c r="L11" s="112">
        <v>190.13378603943201</v>
      </c>
    </row>
    <row r="12" spans="1:12" x14ac:dyDescent="0.3">
      <c r="F12" s="106" t="s">
        <v>373</v>
      </c>
      <c r="G12" s="101"/>
      <c r="H12" s="104" t="s">
        <v>374</v>
      </c>
      <c r="J12" s="111" t="s">
        <v>389</v>
      </c>
      <c r="K12" s="112" t="s">
        <v>389</v>
      </c>
      <c r="L12" s="112" t="s">
        <v>23</v>
      </c>
    </row>
    <row r="13" spans="1:12" x14ac:dyDescent="0.3">
      <c r="F13" s="106" t="s">
        <v>371</v>
      </c>
      <c r="G13" s="101"/>
      <c r="H13" s="104">
        <v>24631.167053650894</v>
      </c>
      <c r="J13" s="105" t="s">
        <v>370</v>
      </c>
      <c r="K13" s="101"/>
      <c r="L13" s="104" t="s">
        <v>54</v>
      </c>
    </row>
    <row r="14" spans="1:12" x14ac:dyDescent="0.3">
      <c r="F14" s="102" t="s">
        <v>375</v>
      </c>
      <c r="G14" s="101" t="s">
        <v>167</v>
      </c>
      <c r="H14" s="101" t="s">
        <v>167</v>
      </c>
      <c r="J14" s="111" t="s">
        <v>192</v>
      </c>
      <c r="K14" s="112" t="s">
        <v>192</v>
      </c>
      <c r="L14" s="112" t="s">
        <v>50</v>
      </c>
    </row>
    <row r="15" spans="1:12" x14ac:dyDescent="0.3">
      <c r="F15" s="103" t="s">
        <v>357</v>
      </c>
      <c r="G15" s="101"/>
      <c r="H15" s="104">
        <v>752.3132299818925</v>
      </c>
      <c r="J15" s="111" t="s">
        <v>390</v>
      </c>
      <c r="K15" s="112" t="s">
        <v>390</v>
      </c>
      <c r="L15" s="112" t="s">
        <v>23</v>
      </c>
    </row>
    <row r="16" spans="1:12" x14ac:dyDescent="0.3">
      <c r="F16" s="105" t="s">
        <v>369</v>
      </c>
      <c r="G16" s="101"/>
      <c r="H16" s="104">
        <v>752.29371730558353</v>
      </c>
      <c r="J16" s="106" t="s">
        <v>371</v>
      </c>
      <c r="K16" s="101"/>
      <c r="L16" s="104" t="s">
        <v>52</v>
      </c>
    </row>
    <row r="17" spans="6:12" x14ac:dyDescent="0.3">
      <c r="F17" s="105" t="s">
        <v>370</v>
      </c>
      <c r="G17" s="101"/>
      <c r="H17" s="104">
        <v>1.9512676308999999E-2</v>
      </c>
      <c r="J17" s="103" t="s">
        <v>372</v>
      </c>
      <c r="K17" s="101"/>
      <c r="L17" s="104">
        <v>954.4001206508924</v>
      </c>
    </row>
    <row r="18" spans="6:12" x14ac:dyDescent="0.3">
      <c r="F18" s="106" t="s">
        <v>371</v>
      </c>
      <c r="G18" s="101"/>
      <c r="H18" s="104" t="s">
        <v>374</v>
      </c>
      <c r="J18" s="106" t="s">
        <v>373</v>
      </c>
      <c r="K18" s="101"/>
      <c r="L18" s="104" t="s">
        <v>54</v>
      </c>
    </row>
    <row r="19" spans="6:12" x14ac:dyDescent="0.3">
      <c r="F19" s="103" t="s">
        <v>372</v>
      </c>
      <c r="G19" s="101"/>
      <c r="H19" s="104">
        <v>18025.742234000001</v>
      </c>
      <c r="J19" s="111" t="s">
        <v>192</v>
      </c>
      <c r="K19" s="112" t="s">
        <v>192</v>
      </c>
      <c r="L19" s="112" t="s">
        <v>50</v>
      </c>
    </row>
    <row r="20" spans="6:12" x14ac:dyDescent="0.3">
      <c r="F20" s="106" t="s">
        <v>373</v>
      </c>
      <c r="G20" s="101"/>
      <c r="H20" s="104" t="s">
        <v>374</v>
      </c>
      <c r="J20" s="111" t="s">
        <v>390</v>
      </c>
      <c r="K20" s="112" t="s">
        <v>390</v>
      </c>
      <c r="L20" s="112" t="s">
        <v>23</v>
      </c>
    </row>
    <row r="21" spans="6:12" x14ac:dyDescent="0.3">
      <c r="F21" s="106" t="s">
        <v>371</v>
      </c>
      <c r="G21" s="101"/>
      <c r="H21" s="104">
        <v>18025.742234000001</v>
      </c>
      <c r="J21" s="106" t="s">
        <v>371</v>
      </c>
      <c r="K21" s="101"/>
      <c r="L21" s="104">
        <v>954.4001206508924</v>
      </c>
    </row>
    <row r="22" spans="6:12" x14ac:dyDescent="0.3">
      <c r="F22" s="102" t="s">
        <v>376</v>
      </c>
      <c r="G22" s="101" t="s">
        <v>167</v>
      </c>
      <c r="H22" s="101" t="s">
        <v>167</v>
      </c>
      <c r="J22" s="113" t="s">
        <v>391</v>
      </c>
      <c r="K22" s="104" t="s">
        <v>391</v>
      </c>
      <c r="L22" s="104">
        <v>406.74822106863297</v>
      </c>
    </row>
    <row r="23" spans="6:12" x14ac:dyDescent="0.3">
      <c r="F23" s="103" t="s">
        <v>357</v>
      </c>
      <c r="G23" s="101"/>
      <c r="H23" s="104">
        <v>1576.9669511338366</v>
      </c>
      <c r="J23" s="114" t="s">
        <v>390</v>
      </c>
      <c r="K23" s="112" t="s">
        <v>390</v>
      </c>
      <c r="L23" s="112" t="s">
        <v>23</v>
      </c>
    </row>
    <row r="24" spans="6:12" x14ac:dyDescent="0.3">
      <c r="F24" s="105" t="s">
        <v>369</v>
      </c>
      <c r="G24" s="101"/>
      <c r="H24" s="104">
        <v>1576.9669511338366</v>
      </c>
      <c r="J24" s="114" t="s">
        <v>192</v>
      </c>
      <c r="K24" s="112" t="s">
        <v>192</v>
      </c>
      <c r="L24" s="112">
        <v>406.74822106863297</v>
      </c>
    </row>
    <row r="25" spans="6:12" x14ac:dyDescent="0.3">
      <c r="F25" s="105" t="s">
        <v>370</v>
      </c>
      <c r="G25" s="101"/>
      <c r="H25" s="104" t="s">
        <v>377</v>
      </c>
      <c r="J25" s="113" t="s">
        <v>392</v>
      </c>
      <c r="K25" s="104" t="s">
        <v>392</v>
      </c>
      <c r="L25" s="104">
        <v>542.23214133412546</v>
      </c>
    </row>
    <row r="26" spans="6:12" x14ac:dyDescent="0.3">
      <c r="F26" s="106" t="s">
        <v>371</v>
      </c>
      <c r="G26" s="101"/>
      <c r="H26" s="104" t="s">
        <v>374</v>
      </c>
      <c r="J26" s="114" t="s">
        <v>390</v>
      </c>
      <c r="K26" s="112" t="s">
        <v>390</v>
      </c>
      <c r="L26" s="112" t="s">
        <v>23</v>
      </c>
    </row>
    <row r="27" spans="6:12" x14ac:dyDescent="0.3">
      <c r="F27" s="103" t="s">
        <v>372</v>
      </c>
      <c r="G27" s="101"/>
      <c r="H27" s="104">
        <v>14093.008988</v>
      </c>
      <c r="J27" s="114" t="s">
        <v>192</v>
      </c>
      <c r="K27" s="112" t="s">
        <v>192</v>
      </c>
      <c r="L27" s="112">
        <v>542.23214133412546</v>
      </c>
    </row>
    <row r="28" spans="6:12" x14ac:dyDescent="0.3">
      <c r="F28" s="106" t="s">
        <v>373</v>
      </c>
      <c r="G28" s="101"/>
      <c r="H28" s="104" t="s">
        <v>377</v>
      </c>
      <c r="J28" s="113" t="s">
        <v>393</v>
      </c>
      <c r="K28" s="104" t="s">
        <v>393</v>
      </c>
      <c r="L28" s="104">
        <v>5.4197582481339301</v>
      </c>
    </row>
    <row r="29" spans="6:12" x14ac:dyDescent="0.3">
      <c r="F29" s="106" t="s">
        <v>371</v>
      </c>
      <c r="G29" s="101"/>
      <c r="H29" s="104">
        <v>14093.008988</v>
      </c>
      <c r="J29" s="114" t="s">
        <v>192</v>
      </c>
      <c r="K29" s="112" t="s">
        <v>192</v>
      </c>
      <c r="L29" s="112">
        <v>5.4197582481339301</v>
      </c>
    </row>
    <row r="30" spans="6:12" x14ac:dyDescent="0.3">
      <c r="F30" s="102" t="s">
        <v>378</v>
      </c>
      <c r="G30" s="101" t="s">
        <v>167</v>
      </c>
      <c r="H30" s="101" t="s">
        <v>167</v>
      </c>
      <c r="J30" s="114" t="s">
        <v>390</v>
      </c>
      <c r="K30" s="112" t="s">
        <v>390</v>
      </c>
      <c r="L30" s="112" t="s">
        <v>23</v>
      </c>
    </row>
    <row r="31" spans="6:12" x14ac:dyDescent="0.3">
      <c r="F31" s="107" t="s">
        <v>379</v>
      </c>
      <c r="G31" s="101" t="s">
        <v>167</v>
      </c>
      <c r="H31" s="101" t="s">
        <v>167</v>
      </c>
      <c r="J31" s="102" t="s">
        <v>375</v>
      </c>
      <c r="K31" s="101" t="s">
        <v>167</v>
      </c>
      <c r="L31" s="101" t="s">
        <v>167</v>
      </c>
    </row>
    <row r="32" spans="6:12" x14ac:dyDescent="0.3">
      <c r="F32" s="108" t="s">
        <v>357</v>
      </c>
      <c r="G32" s="101"/>
      <c r="H32" s="104">
        <v>302.83761539892902</v>
      </c>
      <c r="J32" s="103" t="s">
        <v>357</v>
      </c>
      <c r="K32" s="101"/>
      <c r="L32" s="104" t="s">
        <v>380</v>
      </c>
    </row>
    <row r="33" spans="6:12" x14ac:dyDescent="0.3">
      <c r="F33" s="109" t="s">
        <v>369</v>
      </c>
      <c r="G33" s="101"/>
      <c r="H33" s="104">
        <v>272.99754639892899</v>
      </c>
      <c r="J33" s="105" t="s">
        <v>369</v>
      </c>
      <c r="K33" s="101"/>
      <c r="L33" s="104" t="s">
        <v>302</v>
      </c>
    </row>
    <row r="34" spans="6:12" x14ac:dyDescent="0.3">
      <c r="F34" s="109" t="s">
        <v>370</v>
      </c>
      <c r="G34" s="101"/>
      <c r="H34" s="104">
        <v>7.8106989999999996</v>
      </c>
      <c r="J34" s="111" t="s">
        <v>390</v>
      </c>
      <c r="K34" s="112" t="s">
        <v>390</v>
      </c>
      <c r="L34" s="112" t="s">
        <v>302</v>
      </c>
    </row>
    <row r="35" spans="6:12" x14ac:dyDescent="0.3">
      <c r="F35" s="110" t="s">
        <v>371</v>
      </c>
      <c r="G35" s="101"/>
      <c r="H35" s="104">
        <v>22.02937</v>
      </c>
      <c r="J35" s="111" t="s">
        <v>192</v>
      </c>
      <c r="K35" s="112" t="s">
        <v>192</v>
      </c>
      <c r="L35" s="112" t="s">
        <v>302</v>
      </c>
    </row>
    <row r="36" spans="6:12" x14ac:dyDescent="0.3">
      <c r="F36" s="108" t="s">
        <v>372</v>
      </c>
      <c r="G36" s="101"/>
      <c r="H36" s="104" t="s">
        <v>380</v>
      </c>
      <c r="J36" s="105" t="s">
        <v>370</v>
      </c>
      <c r="K36" s="101"/>
      <c r="L36" s="104" t="s">
        <v>54</v>
      </c>
    </row>
    <row r="37" spans="6:12" x14ac:dyDescent="0.3">
      <c r="F37" s="110" t="s">
        <v>373</v>
      </c>
      <c r="G37" s="101"/>
      <c r="H37" s="104" t="s">
        <v>377</v>
      </c>
      <c r="J37" s="111" t="s">
        <v>192</v>
      </c>
      <c r="K37" s="112" t="s">
        <v>192</v>
      </c>
      <c r="L37" s="112" t="s">
        <v>50</v>
      </c>
    </row>
    <row r="38" spans="6:12" x14ac:dyDescent="0.3">
      <c r="F38" s="110" t="s">
        <v>371</v>
      </c>
      <c r="G38" s="101"/>
      <c r="H38" s="104" t="s">
        <v>328</v>
      </c>
      <c r="J38" s="111" t="s">
        <v>390</v>
      </c>
      <c r="K38" s="112" t="s">
        <v>390</v>
      </c>
      <c r="L38" s="112" t="s">
        <v>23</v>
      </c>
    </row>
    <row r="39" spans="6:12" x14ac:dyDescent="0.3">
      <c r="F39" s="107" t="s">
        <v>381</v>
      </c>
      <c r="G39" s="101" t="s">
        <v>167</v>
      </c>
      <c r="H39" s="101" t="s">
        <v>167</v>
      </c>
      <c r="J39" s="106" t="s">
        <v>371</v>
      </c>
      <c r="K39" s="101"/>
      <c r="L39" s="104" t="s">
        <v>52</v>
      </c>
    </row>
    <row r="40" spans="6:12" x14ac:dyDescent="0.3">
      <c r="F40" s="108" t="s">
        <v>357</v>
      </c>
      <c r="G40" s="101"/>
      <c r="H40" s="104">
        <v>34.859000000000002</v>
      </c>
      <c r="J40" s="103" t="s">
        <v>372</v>
      </c>
      <c r="K40" s="101"/>
      <c r="L40" s="104" t="s">
        <v>394</v>
      </c>
    </row>
    <row r="41" spans="6:12" x14ac:dyDescent="0.3">
      <c r="F41" s="109" t="s">
        <v>369</v>
      </c>
      <c r="G41" s="101"/>
      <c r="H41" s="104" t="s">
        <v>377</v>
      </c>
      <c r="J41" s="106" t="s">
        <v>373</v>
      </c>
      <c r="K41" s="101"/>
      <c r="L41" s="104" t="s">
        <v>54</v>
      </c>
    </row>
    <row r="42" spans="6:12" x14ac:dyDescent="0.3">
      <c r="F42" s="109" t="s">
        <v>370</v>
      </c>
      <c r="G42" s="101"/>
      <c r="H42" s="104" t="s">
        <v>377</v>
      </c>
      <c r="J42" s="111" t="s">
        <v>192</v>
      </c>
      <c r="K42" s="112" t="s">
        <v>192</v>
      </c>
      <c r="L42" s="112" t="s">
        <v>50</v>
      </c>
    </row>
    <row r="43" spans="6:12" x14ac:dyDescent="0.3">
      <c r="F43" s="110" t="s">
        <v>371</v>
      </c>
      <c r="G43" s="101"/>
      <c r="H43" s="104">
        <v>34.859000000000002</v>
      </c>
      <c r="J43" s="111" t="s">
        <v>390</v>
      </c>
      <c r="K43" s="112" t="s">
        <v>390</v>
      </c>
      <c r="L43" s="112" t="s">
        <v>23</v>
      </c>
    </row>
    <row r="44" spans="6:12" x14ac:dyDescent="0.3">
      <c r="F44" s="108" t="s">
        <v>372</v>
      </c>
      <c r="G44" s="101"/>
      <c r="H44" s="104">
        <v>1158.1738660999999</v>
      </c>
      <c r="J44" s="106" t="s">
        <v>371</v>
      </c>
      <c r="K44" s="101"/>
      <c r="L44" s="104" t="s">
        <v>52</v>
      </c>
    </row>
    <row r="45" spans="6:12" x14ac:dyDescent="0.3">
      <c r="F45" s="110" t="s">
        <v>373</v>
      </c>
      <c r="G45" s="101"/>
      <c r="H45" s="104" t="s">
        <v>374</v>
      </c>
      <c r="J45" s="102" t="s">
        <v>376</v>
      </c>
      <c r="K45" s="101" t="s">
        <v>167</v>
      </c>
      <c r="L45" s="101" t="s">
        <v>167</v>
      </c>
    </row>
    <row r="46" spans="6:12" x14ac:dyDescent="0.3">
      <c r="F46" s="110" t="s">
        <v>371</v>
      </c>
      <c r="G46" s="101"/>
      <c r="H46" s="104">
        <v>1158.1738660999999</v>
      </c>
      <c r="J46" s="103" t="s">
        <v>357</v>
      </c>
      <c r="K46" s="101"/>
      <c r="L46" s="104" t="s">
        <v>395</v>
      </c>
    </row>
    <row r="47" spans="6:12" x14ac:dyDescent="0.3">
      <c r="F47" s="107" t="s">
        <v>382</v>
      </c>
      <c r="G47" s="101"/>
      <c r="H47" s="101" t="s">
        <v>167</v>
      </c>
      <c r="J47" s="105" t="s">
        <v>369</v>
      </c>
      <c r="K47" s="101"/>
      <c r="L47" s="104" t="s">
        <v>396</v>
      </c>
    </row>
    <row r="48" spans="6:12" x14ac:dyDescent="0.3">
      <c r="F48" s="102" t="s">
        <v>383</v>
      </c>
      <c r="G48" s="101"/>
      <c r="H48" s="101" t="s">
        <v>167</v>
      </c>
      <c r="J48" s="111" t="s">
        <v>192</v>
      </c>
      <c r="K48" s="112" t="s">
        <v>192</v>
      </c>
      <c r="L48" s="112" t="s">
        <v>302</v>
      </c>
    </row>
    <row r="49" spans="10:12" x14ac:dyDescent="0.3">
      <c r="J49" s="111" t="s">
        <v>390</v>
      </c>
      <c r="K49" s="112" t="s">
        <v>390</v>
      </c>
      <c r="L49" s="112" t="s">
        <v>50</v>
      </c>
    </row>
    <row r="50" spans="10:12" x14ac:dyDescent="0.3">
      <c r="J50" s="105" t="s">
        <v>370</v>
      </c>
      <c r="K50" s="101"/>
      <c r="L50" s="104" t="s">
        <v>50</v>
      </c>
    </row>
    <row r="51" spans="10:12" x14ac:dyDescent="0.3">
      <c r="J51" s="111" t="s">
        <v>390</v>
      </c>
      <c r="K51" s="112" t="s">
        <v>390</v>
      </c>
      <c r="L51" s="112" t="s">
        <v>50</v>
      </c>
    </row>
    <row r="52" spans="10:12" x14ac:dyDescent="0.3">
      <c r="J52" s="111" t="s">
        <v>192</v>
      </c>
      <c r="K52" s="112" t="s">
        <v>192</v>
      </c>
      <c r="L52" s="112" t="s">
        <v>50</v>
      </c>
    </row>
    <row r="53" spans="10:12" x14ac:dyDescent="0.3">
      <c r="J53" s="106" t="s">
        <v>371</v>
      </c>
      <c r="K53" s="101"/>
      <c r="L53" s="104" t="s">
        <v>52</v>
      </c>
    </row>
    <row r="54" spans="10:12" x14ac:dyDescent="0.3">
      <c r="J54" s="103" t="s">
        <v>372</v>
      </c>
      <c r="K54" s="101"/>
      <c r="L54" s="104" t="s">
        <v>397</v>
      </c>
    </row>
    <row r="55" spans="10:12" x14ac:dyDescent="0.3">
      <c r="J55" s="106" t="s">
        <v>373</v>
      </c>
      <c r="K55" s="101"/>
      <c r="L55" s="104" t="s">
        <v>50</v>
      </c>
    </row>
    <row r="56" spans="10:12" x14ac:dyDescent="0.3">
      <c r="J56" s="111" t="s">
        <v>192</v>
      </c>
      <c r="K56" s="112" t="s">
        <v>192</v>
      </c>
      <c r="L56" s="112" t="s">
        <v>50</v>
      </c>
    </row>
    <row r="57" spans="10:12" x14ac:dyDescent="0.3">
      <c r="J57" s="111" t="s">
        <v>390</v>
      </c>
      <c r="K57" s="112" t="s">
        <v>390</v>
      </c>
      <c r="L57" s="112" t="s">
        <v>50</v>
      </c>
    </row>
    <row r="58" spans="10:12" x14ac:dyDescent="0.3">
      <c r="J58" s="106" t="s">
        <v>371</v>
      </c>
      <c r="K58" s="101"/>
      <c r="L58" s="104" t="s">
        <v>52</v>
      </c>
    </row>
    <row r="59" spans="10:12" x14ac:dyDescent="0.3">
      <c r="J59" s="102" t="s">
        <v>378</v>
      </c>
      <c r="K59" s="101" t="s">
        <v>167</v>
      </c>
      <c r="L59" s="101" t="s">
        <v>167</v>
      </c>
    </row>
    <row r="60" spans="10:12" x14ac:dyDescent="0.3">
      <c r="J60" s="107" t="s">
        <v>379</v>
      </c>
      <c r="K60" s="101" t="s">
        <v>167</v>
      </c>
      <c r="L60" s="101" t="s">
        <v>167</v>
      </c>
    </row>
    <row r="61" spans="10:12" x14ac:dyDescent="0.3">
      <c r="J61" s="108" t="s">
        <v>357</v>
      </c>
      <c r="K61" s="101"/>
      <c r="L61" s="104">
        <v>0.35044999999999998</v>
      </c>
    </row>
    <row r="62" spans="10:12" x14ac:dyDescent="0.3">
      <c r="J62" s="109" t="s">
        <v>369</v>
      </c>
      <c r="K62" s="101"/>
      <c r="L62" s="104">
        <v>0.35044999999999998</v>
      </c>
    </row>
    <row r="63" spans="10:12" x14ac:dyDescent="0.3">
      <c r="J63" s="114" t="s">
        <v>192</v>
      </c>
      <c r="K63" s="112" t="s">
        <v>192</v>
      </c>
      <c r="L63" s="112">
        <v>0.35044999999999998</v>
      </c>
    </row>
    <row r="64" spans="10:12" x14ac:dyDescent="0.3">
      <c r="J64" s="114" t="s">
        <v>390</v>
      </c>
      <c r="K64" s="112" t="s">
        <v>390</v>
      </c>
      <c r="L64" s="112" t="s">
        <v>50</v>
      </c>
    </row>
    <row r="65" spans="10:12" x14ac:dyDescent="0.3">
      <c r="J65" s="109" t="s">
        <v>370</v>
      </c>
      <c r="K65" s="101"/>
      <c r="L65" s="104" t="s">
        <v>50</v>
      </c>
    </row>
    <row r="66" spans="10:12" x14ac:dyDescent="0.3">
      <c r="J66" s="114" t="s">
        <v>192</v>
      </c>
      <c r="K66" s="112" t="s">
        <v>192</v>
      </c>
      <c r="L66" s="112" t="s">
        <v>50</v>
      </c>
    </row>
    <row r="67" spans="10:12" x14ac:dyDescent="0.3">
      <c r="J67" s="114" t="s">
        <v>390</v>
      </c>
      <c r="K67" s="112" t="s">
        <v>390</v>
      </c>
      <c r="L67" s="112" t="s">
        <v>50</v>
      </c>
    </row>
    <row r="68" spans="10:12" x14ac:dyDescent="0.3">
      <c r="J68" s="110" t="s">
        <v>371</v>
      </c>
      <c r="K68" s="101"/>
      <c r="L68" s="104" t="s">
        <v>52</v>
      </c>
    </row>
    <row r="69" spans="10:12" x14ac:dyDescent="0.3">
      <c r="J69" s="108" t="s">
        <v>372</v>
      </c>
      <c r="K69" s="101"/>
      <c r="L69" s="104" t="s">
        <v>394</v>
      </c>
    </row>
    <row r="70" spans="10:12" x14ac:dyDescent="0.3">
      <c r="J70" s="110" t="s">
        <v>373</v>
      </c>
      <c r="K70" s="101"/>
      <c r="L70" s="104" t="s">
        <v>54</v>
      </c>
    </row>
    <row r="71" spans="10:12" x14ac:dyDescent="0.3">
      <c r="J71" s="114" t="s">
        <v>390</v>
      </c>
      <c r="K71" s="112" t="s">
        <v>390</v>
      </c>
      <c r="L71" s="112" t="s">
        <v>23</v>
      </c>
    </row>
    <row r="72" spans="10:12" x14ac:dyDescent="0.3">
      <c r="J72" s="114" t="s">
        <v>192</v>
      </c>
      <c r="K72" s="112" t="s">
        <v>192</v>
      </c>
      <c r="L72" s="112" t="s">
        <v>50</v>
      </c>
    </row>
    <row r="73" spans="10:12" x14ac:dyDescent="0.3">
      <c r="J73" s="110" t="s">
        <v>371</v>
      </c>
      <c r="K73" s="101"/>
      <c r="L73" s="104" t="s">
        <v>52</v>
      </c>
    </row>
    <row r="74" spans="10:12" x14ac:dyDescent="0.3">
      <c r="J74" s="107" t="s">
        <v>381</v>
      </c>
      <c r="K74" s="101" t="s">
        <v>167</v>
      </c>
      <c r="L74" s="101" t="s">
        <v>167</v>
      </c>
    </row>
    <row r="75" spans="10:12" x14ac:dyDescent="0.3">
      <c r="J75" s="108" t="s">
        <v>357</v>
      </c>
      <c r="K75" s="101"/>
      <c r="L75" s="104" t="s">
        <v>47</v>
      </c>
    </row>
    <row r="76" spans="10:12" x14ac:dyDescent="0.3">
      <c r="J76" s="109" t="s">
        <v>369</v>
      </c>
      <c r="K76" s="101"/>
      <c r="L76" s="104" t="s">
        <v>23</v>
      </c>
    </row>
    <row r="77" spans="10:12" x14ac:dyDescent="0.3">
      <c r="J77" s="114" t="s">
        <v>390</v>
      </c>
      <c r="K77" s="112" t="s">
        <v>390</v>
      </c>
      <c r="L77" s="112" t="s">
        <v>23</v>
      </c>
    </row>
    <row r="78" spans="10:12" x14ac:dyDescent="0.3">
      <c r="J78" s="114" t="s">
        <v>192</v>
      </c>
      <c r="K78" s="112" t="s">
        <v>192</v>
      </c>
      <c r="L78" s="112" t="s">
        <v>23</v>
      </c>
    </row>
    <row r="79" spans="10:12" x14ac:dyDescent="0.3">
      <c r="J79" s="109" t="s">
        <v>370</v>
      </c>
      <c r="K79" s="101"/>
      <c r="L79" s="104" t="s">
        <v>23</v>
      </c>
    </row>
    <row r="80" spans="10:12" x14ac:dyDescent="0.3">
      <c r="J80" s="114" t="s">
        <v>192</v>
      </c>
      <c r="K80" s="112" t="s">
        <v>192</v>
      </c>
      <c r="L80" s="112" t="s">
        <v>23</v>
      </c>
    </row>
    <row r="81" spans="10:12" x14ac:dyDescent="0.3">
      <c r="J81" s="114" t="s">
        <v>390</v>
      </c>
      <c r="K81" s="112" t="s">
        <v>390</v>
      </c>
      <c r="L81" s="112" t="s">
        <v>23</v>
      </c>
    </row>
    <row r="82" spans="10:12" x14ac:dyDescent="0.3">
      <c r="J82" s="110" t="s">
        <v>371</v>
      </c>
      <c r="K82" s="101"/>
      <c r="L82" s="104" t="s">
        <v>52</v>
      </c>
    </row>
    <row r="83" spans="10:12" x14ac:dyDescent="0.3">
      <c r="J83" s="108" t="s">
        <v>372</v>
      </c>
      <c r="K83" s="101"/>
      <c r="L83" s="104" t="s">
        <v>47</v>
      </c>
    </row>
    <row r="84" spans="10:12" x14ac:dyDescent="0.3">
      <c r="J84" s="110" t="s">
        <v>373</v>
      </c>
      <c r="K84" s="101"/>
      <c r="L84" s="104" t="s">
        <v>23</v>
      </c>
    </row>
    <row r="85" spans="10:12" x14ac:dyDescent="0.3">
      <c r="J85" s="114" t="s">
        <v>390</v>
      </c>
      <c r="K85" s="112" t="s">
        <v>390</v>
      </c>
      <c r="L85" s="112" t="s">
        <v>23</v>
      </c>
    </row>
    <row r="86" spans="10:12" x14ac:dyDescent="0.3">
      <c r="J86" s="114" t="s">
        <v>192</v>
      </c>
      <c r="K86" s="112" t="s">
        <v>192</v>
      </c>
      <c r="L86" s="112" t="s">
        <v>23</v>
      </c>
    </row>
    <row r="87" spans="10:12" x14ac:dyDescent="0.3">
      <c r="J87" s="110" t="s">
        <v>371</v>
      </c>
      <c r="K87" s="101"/>
      <c r="L87" s="104" t="s">
        <v>52</v>
      </c>
    </row>
    <row r="88" spans="10:12" x14ac:dyDescent="0.3">
      <c r="J88" s="107" t="s">
        <v>382</v>
      </c>
      <c r="K88" s="101"/>
      <c r="L88" s="101" t="s">
        <v>167</v>
      </c>
    </row>
    <row r="89" spans="10:12" x14ac:dyDescent="0.3">
      <c r="J89" s="102" t="s">
        <v>383</v>
      </c>
      <c r="K89" s="101"/>
      <c r="L89" s="101" t="s">
        <v>167</v>
      </c>
    </row>
  </sheetData>
  <mergeCells count="4">
    <mergeCell ref="G2:G4"/>
    <mergeCell ref="F3:F4"/>
    <mergeCell ref="K2:K4"/>
    <mergeCell ref="J3:J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7"/>
  <sheetViews>
    <sheetView zoomScale="70" zoomScaleNormal="70" workbookViewId="0">
      <pane xSplit="3" ySplit="6" topLeftCell="D11" activePane="bottomRight" state="frozen"/>
      <selection pane="topRight" activeCell="A3" sqref="A3:A16"/>
      <selection pane="bottomLeft" activeCell="A3" sqref="A3:A16"/>
      <selection pane="bottomRight" activeCell="K12" sqref="K12"/>
    </sheetView>
  </sheetViews>
  <sheetFormatPr baseColWidth="10" defaultColWidth="8.6640625" defaultRowHeight="14.4" x14ac:dyDescent="0.3"/>
  <cols>
    <col min="1" max="1" width="16.44140625" style="28" customWidth="1"/>
    <col min="2" max="2" width="8.6640625" style="28"/>
    <col min="3" max="3" width="13.33203125" style="28" customWidth="1"/>
    <col min="4" max="4" width="25.33203125" style="28" customWidth="1"/>
    <col min="5" max="5" width="19.33203125" style="28" customWidth="1"/>
    <col min="6" max="6" width="29.6640625" style="28" bestFit="1" customWidth="1"/>
    <col min="7" max="7" width="18.5546875" style="28" customWidth="1"/>
    <col min="8" max="8" width="17.6640625" style="28" customWidth="1"/>
    <col min="9" max="9" width="18" style="28" customWidth="1"/>
    <col min="10" max="12" width="18" style="76" customWidth="1"/>
    <col min="13" max="13" width="22.33203125" style="16" customWidth="1"/>
    <col min="14" max="14" width="22.6640625" style="16" customWidth="1"/>
    <col min="15" max="15" width="13.6640625" style="16" customWidth="1"/>
    <col min="16" max="16" width="13.5546875" style="16" customWidth="1"/>
    <col min="17" max="17" width="18.5546875" style="16" customWidth="1"/>
    <col min="18" max="18" width="8.33203125" style="16" bestFit="1" customWidth="1"/>
    <col min="19" max="19" width="18.5546875" style="16" customWidth="1"/>
    <col min="20" max="21" width="8.6640625" style="16"/>
    <col min="22" max="16384" width="8.6640625" style="28"/>
  </cols>
  <sheetData>
    <row r="1" spans="1:21" x14ac:dyDescent="0.3">
      <c r="A1" s="76"/>
      <c r="B1" s="76"/>
      <c r="C1" s="76"/>
      <c r="D1" s="76"/>
      <c r="E1" s="76"/>
      <c r="F1" s="76"/>
      <c r="G1" s="76"/>
      <c r="H1" s="76"/>
      <c r="I1" s="76"/>
    </row>
    <row r="2" spans="1:21" x14ac:dyDescent="0.3">
      <c r="A2" s="1"/>
      <c r="B2" s="76"/>
      <c r="C2" s="76"/>
      <c r="D2" s="76"/>
      <c r="E2" s="76"/>
      <c r="F2" s="76"/>
      <c r="G2" s="76"/>
      <c r="H2" s="76"/>
      <c r="I2" s="76"/>
    </row>
    <row r="3" spans="1:21" x14ac:dyDescent="0.3">
      <c r="A3" s="76"/>
      <c r="B3" s="76"/>
      <c r="C3" s="76"/>
      <c r="D3" s="76"/>
      <c r="E3" s="76"/>
      <c r="F3" s="76"/>
      <c r="G3" s="76"/>
      <c r="H3" s="76"/>
      <c r="I3" s="76"/>
    </row>
    <row r="5" spans="1:21" ht="30.6" customHeight="1" x14ac:dyDescent="0.3">
      <c r="A5" s="17"/>
      <c r="B5" s="17"/>
      <c r="C5" s="17"/>
      <c r="D5" s="17"/>
      <c r="E5" s="17"/>
      <c r="F5" s="138" t="s">
        <v>342</v>
      </c>
      <c r="G5" s="138"/>
      <c r="H5" s="138"/>
      <c r="I5" s="138"/>
      <c r="J5" s="138"/>
      <c r="K5" s="138"/>
      <c r="L5" s="138"/>
      <c r="M5" s="138"/>
      <c r="N5" s="138"/>
      <c r="O5" s="139" t="s">
        <v>343</v>
      </c>
      <c r="P5" s="139"/>
      <c r="Q5" s="139"/>
      <c r="R5" s="91"/>
    </row>
    <row r="6" spans="1:21" ht="57.6" x14ac:dyDescent="0.3">
      <c r="A6" s="17" t="s">
        <v>2</v>
      </c>
      <c r="B6" s="17" t="s">
        <v>3</v>
      </c>
      <c r="C6" s="17" t="s">
        <v>4</v>
      </c>
      <c r="D6" s="8" t="s">
        <v>5</v>
      </c>
      <c r="E6" s="8" t="s">
        <v>6</v>
      </c>
      <c r="F6" s="8" t="s">
        <v>7</v>
      </c>
      <c r="G6" s="8" t="s">
        <v>8</v>
      </c>
      <c r="H6" s="8" t="s">
        <v>9</v>
      </c>
      <c r="I6" s="8" t="s">
        <v>10</v>
      </c>
      <c r="J6" s="8" t="s">
        <v>338</v>
      </c>
      <c r="K6" s="8" t="s">
        <v>340</v>
      </c>
      <c r="L6" s="8" t="s">
        <v>341</v>
      </c>
      <c r="M6" s="92" t="s">
        <v>11</v>
      </c>
      <c r="N6" s="92" t="s">
        <v>12</v>
      </c>
      <c r="O6" s="92" t="s">
        <v>13</v>
      </c>
      <c r="P6" s="92" t="s">
        <v>14</v>
      </c>
      <c r="Q6" s="92" t="s">
        <v>15</v>
      </c>
      <c r="R6" s="92"/>
      <c r="S6" s="93" t="s">
        <v>16</v>
      </c>
      <c r="T6" s="93"/>
      <c r="U6" s="93"/>
    </row>
    <row r="7" spans="1:21" ht="43.2" x14ac:dyDescent="0.3">
      <c r="A7" s="11" t="s">
        <v>17</v>
      </c>
      <c r="B7" s="9" t="s">
        <v>18</v>
      </c>
      <c r="C7" s="11" t="s">
        <v>19</v>
      </c>
      <c r="D7" s="18">
        <v>-0.02</v>
      </c>
      <c r="E7" s="11">
        <v>0.03</v>
      </c>
      <c r="F7" s="13" t="s">
        <v>20</v>
      </c>
      <c r="G7" s="13" t="s">
        <v>20</v>
      </c>
      <c r="H7" s="13" t="s">
        <v>21</v>
      </c>
      <c r="I7" s="13" t="s">
        <v>20</v>
      </c>
      <c r="J7" s="13" t="s">
        <v>21</v>
      </c>
      <c r="K7" s="13" t="s">
        <v>21</v>
      </c>
      <c r="L7" s="13" t="s">
        <v>21</v>
      </c>
      <c r="M7" s="14" t="s">
        <v>21</v>
      </c>
      <c r="N7" s="14" t="s">
        <v>20</v>
      </c>
      <c r="O7" s="14" t="s">
        <v>20</v>
      </c>
      <c r="P7" s="14" t="s">
        <v>20</v>
      </c>
      <c r="Q7" s="14" t="s">
        <v>20</v>
      </c>
      <c r="R7" s="12"/>
      <c r="S7" s="16">
        <f ca="1">VLOOKUP(A7,INDIRECT("Area_"&amp;B7&amp;"!$A$5:$D$51",TRUE),2,FALSE)</f>
        <v>1344.22</v>
      </c>
    </row>
    <row r="8" spans="1:21" ht="43.2" x14ac:dyDescent="0.3">
      <c r="A8" s="11" t="s">
        <v>17</v>
      </c>
      <c r="B8" s="10" t="s">
        <v>22</v>
      </c>
      <c r="C8" s="11" t="s">
        <v>19</v>
      </c>
      <c r="D8" s="11">
        <v>0</v>
      </c>
      <c r="E8" s="59" t="s">
        <v>23</v>
      </c>
      <c r="F8" s="13" t="s">
        <v>20</v>
      </c>
      <c r="G8" s="13" t="s">
        <v>20</v>
      </c>
      <c r="H8" s="13" t="s">
        <v>20</v>
      </c>
      <c r="I8" s="13" t="s">
        <v>20</v>
      </c>
      <c r="J8" s="13" t="s">
        <v>20</v>
      </c>
      <c r="K8" s="13" t="s">
        <v>20</v>
      </c>
      <c r="L8" s="13" t="s">
        <v>20</v>
      </c>
      <c r="M8" s="14" t="s">
        <v>20</v>
      </c>
      <c r="N8" s="14" t="s">
        <v>20</v>
      </c>
      <c r="O8" s="14" t="s">
        <v>20</v>
      </c>
      <c r="P8" s="14" t="s">
        <v>20</v>
      </c>
      <c r="Q8" s="14" t="s">
        <v>20</v>
      </c>
      <c r="R8" s="12"/>
      <c r="S8" s="16">
        <f t="shared" ref="S8:S34" ca="1" si="0">VLOOKUP(A8,INDIRECT("Area_"&amp;B8&amp;"!$A$5:$D$51",TRUE),2,FALSE)</f>
        <v>1254.0722722312591</v>
      </c>
    </row>
    <row r="9" spans="1:21" ht="43.2" x14ac:dyDescent="0.3">
      <c r="A9" s="11" t="s">
        <v>17</v>
      </c>
      <c r="B9" s="10" t="s">
        <v>24</v>
      </c>
      <c r="C9" s="11" t="s">
        <v>33</v>
      </c>
      <c r="D9" s="11">
        <v>-0.3</v>
      </c>
      <c r="E9" s="11">
        <v>-0.18</v>
      </c>
      <c r="F9" s="13" t="s">
        <v>339</v>
      </c>
      <c r="G9" s="13" t="s">
        <v>339</v>
      </c>
      <c r="H9" s="13" t="s">
        <v>339</v>
      </c>
      <c r="I9" s="13" t="s">
        <v>339</v>
      </c>
      <c r="J9" s="13" t="s">
        <v>339</v>
      </c>
      <c r="K9" s="13" t="s">
        <v>339</v>
      </c>
      <c r="L9" s="13" t="s">
        <v>339</v>
      </c>
      <c r="M9" s="14" t="s">
        <v>339</v>
      </c>
      <c r="N9" s="14" t="s">
        <v>339</v>
      </c>
      <c r="O9" s="14" t="s">
        <v>21</v>
      </c>
      <c r="P9" s="14" t="s">
        <v>21</v>
      </c>
      <c r="Q9" s="14" t="s">
        <v>21</v>
      </c>
      <c r="R9" s="12"/>
      <c r="S9" s="16">
        <f t="shared" ca="1" si="0"/>
        <v>3894.9761587391549</v>
      </c>
      <c r="T9" s="16" t="s">
        <v>337</v>
      </c>
    </row>
    <row r="10" spans="1:21" ht="43.2" x14ac:dyDescent="0.3">
      <c r="A10" s="11" t="s">
        <v>26</v>
      </c>
      <c r="B10" s="9" t="s">
        <v>18</v>
      </c>
      <c r="C10" s="11" t="s">
        <v>32</v>
      </c>
      <c r="D10" s="11">
        <v>-0.04</v>
      </c>
      <c r="E10" s="11">
        <v>-0.04</v>
      </c>
      <c r="F10" s="13" t="s">
        <v>21</v>
      </c>
      <c r="G10" s="13" t="s">
        <v>21</v>
      </c>
      <c r="H10" s="13" t="s">
        <v>21</v>
      </c>
      <c r="I10" s="13" t="s">
        <v>21</v>
      </c>
      <c r="J10" s="13" t="s">
        <v>21</v>
      </c>
      <c r="K10" s="13" t="s">
        <v>21</v>
      </c>
      <c r="L10" s="13" t="s">
        <v>21</v>
      </c>
      <c r="M10" s="14" t="s">
        <v>21</v>
      </c>
      <c r="N10" s="14" t="s">
        <v>21</v>
      </c>
      <c r="O10" s="14" t="s">
        <v>21</v>
      </c>
      <c r="P10" s="14" t="s">
        <v>21</v>
      </c>
      <c r="Q10" s="14" t="s">
        <v>21</v>
      </c>
      <c r="R10" s="12"/>
      <c r="S10" s="16">
        <f t="shared" ca="1" si="0"/>
        <v>850.73</v>
      </c>
    </row>
    <row r="11" spans="1:21" ht="43.2" x14ac:dyDescent="0.3">
      <c r="A11" s="11" t="s">
        <v>26</v>
      </c>
      <c r="B11" s="10" t="s">
        <v>22</v>
      </c>
      <c r="C11" s="11" t="s">
        <v>32</v>
      </c>
      <c r="D11" s="11">
        <v>0.18</v>
      </c>
      <c r="E11" s="59" t="s">
        <v>23</v>
      </c>
      <c r="F11" s="13" t="s">
        <v>21</v>
      </c>
      <c r="G11" s="13" t="s">
        <v>21</v>
      </c>
      <c r="H11" s="13" t="s">
        <v>21</v>
      </c>
      <c r="I11" s="13" t="s">
        <v>21</v>
      </c>
      <c r="J11" s="13" t="s">
        <v>21</v>
      </c>
      <c r="K11" s="13" t="s">
        <v>21</v>
      </c>
      <c r="L11" s="13" t="s">
        <v>21</v>
      </c>
      <c r="M11" s="14" t="s">
        <v>21</v>
      </c>
      <c r="N11" s="14" t="s">
        <v>21</v>
      </c>
      <c r="O11" s="14" t="s">
        <v>21</v>
      </c>
      <c r="P11" s="14" t="s">
        <v>21</v>
      </c>
      <c r="Q11" s="14" t="s">
        <v>21</v>
      </c>
      <c r="R11" s="12"/>
      <c r="S11" s="16">
        <f t="shared" ca="1" si="0"/>
        <v>560.67422539486006</v>
      </c>
    </row>
    <row r="12" spans="1:21" ht="43.2" x14ac:dyDescent="0.3">
      <c r="A12" s="11" t="s">
        <v>26</v>
      </c>
      <c r="B12" s="10" t="s">
        <v>24</v>
      </c>
      <c r="C12" s="11" t="s">
        <v>27</v>
      </c>
      <c r="D12" s="11" t="s">
        <v>28</v>
      </c>
      <c r="E12" s="11"/>
      <c r="F12" s="13" t="s">
        <v>339</v>
      </c>
      <c r="G12" s="13" t="s">
        <v>339</v>
      </c>
      <c r="H12" s="13" t="s">
        <v>339</v>
      </c>
      <c r="I12" s="13" t="s">
        <v>339</v>
      </c>
      <c r="J12" s="13" t="s">
        <v>339</v>
      </c>
      <c r="K12" s="13" t="s">
        <v>339</v>
      </c>
      <c r="L12" s="13" t="s">
        <v>339</v>
      </c>
      <c r="M12" s="14" t="s">
        <v>339</v>
      </c>
      <c r="N12" s="14" t="s">
        <v>339</v>
      </c>
      <c r="O12" s="14" t="s">
        <v>20</v>
      </c>
      <c r="P12" s="14" t="s">
        <v>20</v>
      </c>
      <c r="Q12" s="14" t="s">
        <v>20</v>
      </c>
      <c r="R12" s="12"/>
      <c r="S12" s="16">
        <f t="shared" ca="1" si="0"/>
        <v>691.28982364458125</v>
      </c>
    </row>
    <row r="13" spans="1:21" ht="43.2" x14ac:dyDescent="0.3">
      <c r="A13" s="76" t="s">
        <v>29</v>
      </c>
      <c r="B13" s="9" t="s">
        <v>18</v>
      </c>
      <c r="C13" s="11" t="s">
        <v>19</v>
      </c>
      <c r="D13" s="11">
        <v>-0.01</v>
      </c>
      <c r="E13" s="11">
        <v>-0.01</v>
      </c>
      <c r="F13" s="13" t="s">
        <v>20</v>
      </c>
      <c r="G13" s="13" t="s">
        <v>20</v>
      </c>
      <c r="H13" s="13" t="s">
        <v>20</v>
      </c>
      <c r="I13" s="13" t="s">
        <v>20</v>
      </c>
      <c r="J13" s="13" t="s">
        <v>20</v>
      </c>
      <c r="K13" s="13" t="s">
        <v>20</v>
      </c>
      <c r="L13" s="13" t="s">
        <v>21</v>
      </c>
      <c r="M13" s="14" t="s">
        <v>20</v>
      </c>
      <c r="N13" s="14" t="s">
        <v>20</v>
      </c>
      <c r="O13" s="14" t="s">
        <v>20</v>
      </c>
      <c r="P13" s="14" t="s">
        <v>20</v>
      </c>
      <c r="Q13" s="14" t="s">
        <v>20</v>
      </c>
      <c r="R13" s="12"/>
      <c r="S13" s="16">
        <f t="shared" ca="1" si="0"/>
        <v>1486.1</v>
      </c>
    </row>
    <row r="14" spans="1:21" ht="28.8" x14ac:dyDescent="0.3">
      <c r="A14" s="76" t="s">
        <v>29</v>
      </c>
      <c r="B14" s="10" t="s">
        <v>22</v>
      </c>
      <c r="C14" s="11" t="s">
        <v>27</v>
      </c>
      <c r="D14" s="11" t="s">
        <v>23</v>
      </c>
      <c r="E14" s="59" t="s">
        <v>23</v>
      </c>
      <c r="F14" s="13" t="s">
        <v>20</v>
      </c>
      <c r="G14" s="13" t="s">
        <v>20</v>
      </c>
      <c r="H14" s="13" t="s">
        <v>20</v>
      </c>
      <c r="I14" s="13" t="s">
        <v>20</v>
      </c>
      <c r="J14" s="13" t="s">
        <v>20</v>
      </c>
      <c r="K14" s="13" t="s">
        <v>20</v>
      </c>
      <c r="L14" s="13" t="s">
        <v>20</v>
      </c>
      <c r="M14" s="14" t="s">
        <v>20</v>
      </c>
      <c r="N14" s="12" t="s">
        <v>20</v>
      </c>
      <c r="O14" s="12" t="s">
        <v>20</v>
      </c>
      <c r="P14" s="12" t="s">
        <v>20</v>
      </c>
      <c r="Q14" s="12" t="s">
        <v>20</v>
      </c>
      <c r="R14" s="12"/>
      <c r="S14" s="16">
        <f t="shared" ca="1" si="0"/>
        <v>1093.39334517409</v>
      </c>
    </row>
    <row r="15" spans="1:21" x14ac:dyDescent="0.3">
      <c r="A15" s="76" t="s">
        <v>29</v>
      </c>
      <c r="B15" s="10" t="s">
        <v>24</v>
      </c>
      <c r="C15" s="11" t="s">
        <v>27</v>
      </c>
      <c r="D15" s="11" t="s">
        <v>25</v>
      </c>
      <c r="E15" s="59" t="s">
        <v>23</v>
      </c>
      <c r="F15" s="13" t="s">
        <v>339</v>
      </c>
      <c r="G15" s="13" t="s">
        <v>339</v>
      </c>
      <c r="H15" s="13" t="s">
        <v>339</v>
      </c>
      <c r="I15" s="13" t="s">
        <v>339</v>
      </c>
      <c r="J15" s="13" t="s">
        <v>339</v>
      </c>
      <c r="K15" s="13" t="s">
        <v>339</v>
      </c>
      <c r="L15" s="13" t="s">
        <v>339</v>
      </c>
      <c r="M15" s="14" t="s">
        <v>339</v>
      </c>
      <c r="N15" s="14" t="s">
        <v>339</v>
      </c>
      <c r="O15" s="12" t="s">
        <v>20</v>
      </c>
      <c r="P15" s="12" t="s">
        <v>20</v>
      </c>
      <c r="Q15" s="12" t="s">
        <v>20</v>
      </c>
      <c r="R15" s="12"/>
      <c r="S15" s="16">
        <f t="shared" ca="1" si="0"/>
        <v>2312.9182183347302</v>
      </c>
    </row>
    <row r="16" spans="1:21" ht="43.2" x14ac:dyDescent="0.3">
      <c r="A16" s="76" t="s">
        <v>31</v>
      </c>
      <c r="B16" s="9" t="s">
        <v>18</v>
      </c>
      <c r="C16" s="11" t="s">
        <v>33</v>
      </c>
      <c r="D16" s="11">
        <v>-0.17</v>
      </c>
      <c r="E16" s="11">
        <v>0.15</v>
      </c>
      <c r="F16" s="13" t="s">
        <v>20</v>
      </c>
      <c r="G16" s="13" t="s">
        <v>20</v>
      </c>
      <c r="H16" s="13" t="s">
        <v>20</v>
      </c>
      <c r="I16" s="13" t="s">
        <v>20</v>
      </c>
      <c r="J16" s="13" t="s">
        <v>20</v>
      </c>
      <c r="K16" s="13" t="s">
        <v>21</v>
      </c>
      <c r="L16" s="13" t="s">
        <v>21</v>
      </c>
      <c r="M16" s="14" t="s">
        <v>20</v>
      </c>
      <c r="N16" s="14" t="s">
        <v>20</v>
      </c>
      <c r="O16" s="14" t="s">
        <v>21</v>
      </c>
      <c r="P16" s="14" t="s">
        <v>21</v>
      </c>
      <c r="Q16" s="14" t="s">
        <v>21</v>
      </c>
      <c r="R16" s="12"/>
      <c r="S16" s="16">
        <f t="shared" ca="1" si="0"/>
        <v>2157.38</v>
      </c>
    </row>
    <row r="17" spans="1:20" ht="43.2" x14ac:dyDescent="0.3">
      <c r="A17" s="76" t="s">
        <v>31</v>
      </c>
      <c r="B17" s="10" t="s">
        <v>22</v>
      </c>
      <c r="C17" s="11" t="s">
        <v>27</v>
      </c>
      <c r="D17" s="11" t="s">
        <v>25</v>
      </c>
      <c r="E17" s="59" t="s">
        <v>23</v>
      </c>
      <c r="F17" s="13" t="s">
        <v>20</v>
      </c>
      <c r="G17" s="13" t="s">
        <v>20</v>
      </c>
      <c r="H17" s="19" t="s">
        <v>20</v>
      </c>
      <c r="I17" s="19" t="s">
        <v>20</v>
      </c>
      <c r="J17" s="19" t="s">
        <v>20</v>
      </c>
      <c r="K17" s="13" t="s">
        <v>20</v>
      </c>
      <c r="L17" s="13" t="s">
        <v>20</v>
      </c>
      <c r="M17" s="14" t="s">
        <v>20</v>
      </c>
      <c r="N17" s="14" t="s">
        <v>20</v>
      </c>
      <c r="O17" s="14" t="s">
        <v>20</v>
      </c>
      <c r="P17" s="14" t="s">
        <v>20</v>
      </c>
      <c r="Q17" s="14" t="s">
        <v>20</v>
      </c>
      <c r="R17" s="12"/>
      <c r="S17" s="16">
        <f t="shared" ca="1" si="0"/>
        <v>126.684</v>
      </c>
    </row>
    <row r="18" spans="1:20" ht="43.2" x14ac:dyDescent="0.3">
      <c r="A18" s="76" t="s">
        <v>31</v>
      </c>
      <c r="B18" s="10" t="s">
        <v>24</v>
      </c>
      <c r="C18" s="11" t="s">
        <v>33</v>
      </c>
      <c r="D18" s="11">
        <v>0.15</v>
      </c>
      <c r="E18" s="11">
        <v>0.15</v>
      </c>
      <c r="F18" s="13" t="s">
        <v>339</v>
      </c>
      <c r="G18" s="13" t="s">
        <v>339</v>
      </c>
      <c r="H18" s="13" t="s">
        <v>339</v>
      </c>
      <c r="I18" s="13" t="s">
        <v>339</v>
      </c>
      <c r="J18" s="13" t="s">
        <v>339</v>
      </c>
      <c r="K18" s="13" t="s">
        <v>339</v>
      </c>
      <c r="L18" s="13" t="s">
        <v>339</v>
      </c>
      <c r="M18" s="14" t="s">
        <v>339</v>
      </c>
      <c r="N18" s="14" t="s">
        <v>339</v>
      </c>
      <c r="O18" s="14" t="s">
        <v>21</v>
      </c>
      <c r="P18" s="14" t="s">
        <v>21</v>
      </c>
      <c r="Q18" s="14" t="s">
        <v>21</v>
      </c>
      <c r="R18" s="12"/>
      <c r="S18" s="16">
        <f t="shared" ca="1" si="0"/>
        <v>15849.471</v>
      </c>
      <c r="T18" s="16" t="s">
        <v>337</v>
      </c>
    </row>
    <row r="19" spans="1:20" s="16" customFormat="1" ht="43.2" x14ac:dyDescent="0.3">
      <c r="A19" s="16" t="s">
        <v>34</v>
      </c>
      <c r="B19" s="14" t="s">
        <v>18</v>
      </c>
      <c r="C19" s="11" t="s">
        <v>19</v>
      </c>
      <c r="D19" s="12">
        <v>0.06</v>
      </c>
      <c r="E19" s="12">
        <v>0.06</v>
      </c>
      <c r="F19" s="14" t="s">
        <v>20</v>
      </c>
      <c r="G19" s="14" t="s">
        <v>20</v>
      </c>
      <c r="H19" s="14" t="s">
        <v>21</v>
      </c>
      <c r="I19" s="14" t="s">
        <v>21</v>
      </c>
      <c r="J19" s="14" t="s">
        <v>20</v>
      </c>
      <c r="K19" s="14" t="s">
        <v>21</v>
      </c>
      <c r="L19" s="14" t="s">
        <v>20</v>
      </c>
      <c r="M19" s="14" t="s">
        <v>21</v>
      </c>
      <c r="N19" s="14" t="s">
        <v>21</v>
      </c>
      <c r="O19" s="14" t="s">
        <v>20</v>
      </c>
      <c r="P19" s="14" t="s">
        <v>20</v>
      </c>
      <c r="Q19" s="14" t="s">
        <v>20</v>
      </c>
      <c r="R19" s="12"/>
      <c r="S19" s="16">
        <f t="shared" ca="1" si="0"/>
        <v>14476.23</v>
      </c>
    </row>
    <row r="20" spans="1:20" s="16" customFormat="1" ht="43.2" x14ac:dyDescent="0.3">
      <c r="A20" s="16" t="s">
        <v>34</v>
      </c>
      <c r="B20" s="12" t="s">
        <v>22</v>
      </c>
      <c r="C20" s="11" t="s">
        <v>19</v>
      </c>
      <c r="D20" s="12">
        <v>0</v>
      </c>
      <c r="E20" s="60" t="s">
        <v>23</v>
      </c>
      <c r="F20" s="14" t="s">
        <v>20</v>
      </c>
      <c r="G20" s="14" t="s">
        <v>20</v>
      </c>
      <c r="H20" s="14" t="s">
        <v>20</v>
      </c>
      <c r="I20" s="14" t="s">
        <v>21</v>
      </c>
      <c r="J20" s="14" t="s">
        <v>20</v>
      </c>
      <c r="K20" s="14" t="s">
        <v>21</v>
      </c>
      <c r="L20" s="14" t="s">
        <v>20</v>
      </c>
      <c r="M20" s="14" t="s">
        <v>20</v>
      </c>
      <c r="N20" s="14" t="s">
        <v>20</v>
      </c>
      <c r="O20" s="14" t="s">
        <v>21</v>
      </c>
      <c r="P20" s="14" t="s">
        <v>20</v>
      </c>
      <c r="Q20" s="14" t="s">
        <v>20</v>
      </c>
      <c r="R20" s="12"/>
      <c r="S20" s="16">
        <f t="shared" ca="1" si="0"/>
        <v>12409.887161000001</v>
      </c>
    </row>
    <row r="21" spans="1:20" s="16" customFormat="1" ht="43.2" x14ac:dyDescent="0.3">
      <c r="A21" s="16" t="s">
        <v>34</v>
      </c>
      <c r="B21" s="12" t="s">
        <v>24</v>
      </c>
      <c r="C21" s="11" t="s">
        <v>27</v>
      </c>
      <c r="D21" s="12" t="s">
        <v>25</v>
      </c>
      <c r="E21" s="12"/>
      <c r="F21" s="13" t="s">
        <v>339</v>
      </c>
      <c r="G21" s="13" t="s">
        <v>339</v>
      </c>
      <c r="H21" s="13" t="s">
        <v>339</v>
      </c>
      <c r="I21" s="13" t="s">
        <v>339</v>
      </c>
      <c r="J21" s="13" t="s">
        <v>339</v>
      </c>
      <c r="K21" s="13" t="s">
        <v>339</v>
      </c>
      <c r="L21" s="13" t="s">
        <v>339</v>
      </c>
      <c r="M21" s="14" t="s">
        <v>339</v>
      </c>
      <c r="N21" s="14" t="s">
        <v>339</v>
      </c>
      <c r="O21" s="14" t="s">
        <v>20</v>
      </c>
      <c r="P21" s="14" t="s">
        <v>20</v>
      </c>
      <c r="Q21" s="14" t="s">
        <v>20</v>
      </c>
      <c r="R21" s="12"/>
      <c r="S21" s="16">
        <f t="shared" ca="1" si="0"/>
        <v>23263.558240999999</v>
      </c>
    </row>
    <row r="22" spans="1:20" ht="43.2" x14ac:dyDescent="0.3">
      <c r="A22" s="61" t="s">
        <v>35</v>
      </c>
      <c r="B22" s="62" t="s">
        <v>18</v>
      </c>
      <c r="C22" s="14" t="s">
        <v>19</v>
      </c>
      <c r="D22" s="63">
        <v>0.01</v>
      </c>
      <c r="E22" s="62">
        <v>0</v>
      </c>
      <c r="F22" s="62" t="s">
        <v>20</v>
      </c>
      <c r="G22" s="62" t="s">
        <v>20</v>
      </c>
      <c r="H22" s="62" t="s">
        <v>20</v>
      </c>
      <c r="I22" s="62" t="s">
        <v>20</v>
      </c>
      <c r="J22" s="62" t="s">
        <v>20</v>
      </c>
      <c r="K22" s="62" t="s">
        <v>21</v>
      </c>
      <c r="L22" s="62" t="s">
        <v>21</v>
      </c>
      <c r="M22" s="14" t="s">
        <v>20</v>
      </c>
      <c r="N22" s="14" t="s">
        <v>20</v>
      </c>
      <c r="O22" s="14" t="s">
        <v>20</v>
      </c>
      <c r="P22" s="14" t="s">
        <v>20</v>
      </c>
      <c r="Q22" s="14" t="s">
        <v>20</v>
      </c>
      <c r="R22" s="12"/>
      <c r="S22" s="16">
        <f t="shared" ca="1" si="0"/>
        <v>11143.4</v>
      </c>
    </row>
    <row r="23" spans="1:20" ht="43.2" x14ac:dyDescent="0.3">
      <c r="A23" s="47" t="s">
        <v>35</v>
      </c>
      <c r="B23" s="9" t="s">
        <v>22</v>
      </c>
      <c r="C23" s="14" t="s">
        <v>19</v>
      </c>
      <c r="D23" s="64">
        <v>-1.03404E-3</v>
      </c>
      <c r="E23" s="65" t="s">
        <v>23</v>
      </c>
      <c r="F23" s="14" t="s">
        <v>20</v>
      </c>
      <c r="G23" s="14" t="s">
        <v>20</v>
      </c>
      <c r="H23" s="14" t="s">
        <v>20</v>
      </c>
      <c r="I23" s="14" t="s">
        <v>20</v>
      </c>
      <c r="J23" s="62" t="s">
        <v>20</v>
      </c>
      <c r="K23" s="62" t="s">
        <v>20</v>
      </c>
      <c r="L23" s="62" t="s">
        <v>21</v>
      </c>
      <c r="M23" s="14" t="s">
        <v>20</v>
      </c>
      <c r="N23" s="14" t="s">
        <v>21</v>
      </c>
      <c r="O23" s="14" t="s">
        <v>20</v>
      </c>
      <c r="P23" s="14" t="s">
        <v>20</v>
      </c>
      <c r="Q23" s="14" t="s">
        <v>20</v>
      </c>
      <c r="R23" s="12"/>
      <c r="S23" s="16">
        <f t="shared" ca="1" si="0"/>
        <v>4185.7290000000003</v>
      </c>
    </row>
    <row r="24" spans="1:20" ht="43.2" x14ac:dyDescent="0.3">
      <c r="A24" s="47" t="s">
        <v>35</v>
      </c>
      <c r="B24" s="9" t="s">
        <v>24</v>
      </c>
      <c r="C24" s="14" t="s">
        <v>32</v>
      </c>
      <c r="D24" s="66">
        <v>5.5954759688299997E-3</v>
      </c>
      <c r="E24" s="14">
        <v>0.41</v>
      </c>
      <c r="F24" s="13" t="s">
        <v>339</v>
      </c>
      <c r="G24" s="13" t="s">
        <v>339</v>
      </c>
      <c r="H24" s="13" t="s">
        <v>339</v>
      </c>
      <c r="I24" s="13" t="s">
        <v>339</v>
      </c>
      <c r="J24" s="13" t="s">
        <v>339</v>
      </c>
      <c r="K24" s="13" t="s">
        <v>339</v>
      </c>
      <c r="L24" s="13" t="s">
        <v>339</v>
      </c>
      <c r="M24" s="14" t="s">
        <v>339</v>
      </c>
      <c r="N24" s="14" t="s">
        <v>339</v>
      </c>
      <c r="O24" s="14" t="s">
        <v>21</v>
      </c>
      <c r="P24" s="14" t="s">
        <v>21</v>
      </c>
      <c r="Q24" s="14" t="s">
        <v>21</v>
      </c>
      <c r="R24" s="12"/>
      <c r="S24" s="16">
        <f t="shared" ca="1" si="0"/>
        <v>10541.2</v>
      </c>
    </row>
    <row r="25" spans="1:20" ht="43.2" x14ac:dyDescent="0.3">
      <c r="A25" s="67" t="s">
        <v>36</v>
      </c>
      <c r="B25" s="9" t="s">
        <v>18</v>
      </c>
      <c r="C25" s="75" t="s">
        <v>27</v>
      </c>
      <c r="D25" s="14">
        <v>0</v>
      </c>
      <c r="E25" s="14"/>
      <c r="F25" s="14" t="s">
        <v>20</v>
      </c>
      <c r="G25" s="14" t="s">
        <v>20</v>
      </c>
      <c r="H25" s="14" t="s">
        <v>20</v>
      </c>
      <c r="I25" s="14" t="s">
        <v>20</v>
      </c>
      <c r="J25" s="14" t="s">
        <v>20</v>
      </c>
      <c r="K25" s="14" t="s">
        <v>20</v>
      </c>
      <c r="L25" s="14"/>
      <c r="M25" s="14" t="s">
        <v>20</v>
      </c>
      <c r="N25" s="14" t="s">
        <v>37</v>
      </c>
      <c r="O25" s="14" t="s">
        <v>20</v>
      </c>
      <c r="P25" s="14" t="s">
        <v>20</v>
      </c>
      <c r="Q25" s="14" t="s">
        <v>20</v>
      </c>
      <c r="R25" s="12"/>
      <c r="S25" s="16">
        <f t="shared" ca="1" si="0"/>
        <v>3062.66</v>
      </c>
    </row>
    <row r="26" spans="1:20" ht="43.2" x14ac:dyDescent="0.3">
      <c r="A26" s="47" t="s">
        <v>36</v>
      </c>
      <c r="B26" s="9" t="s">
        <v>22</v>
      </c>
      <c r="C26" s="13" t="s">
        <v>19</v>
      </c>
      <c r="D26" s="14" t="s">
        <v>25</v>
      </c>
      <c r="E26" s="65" t="s">
        <v>23</v>
      </c>
      <c r="F26" s="13" t="s">
        <v>20</v>
      </c>
      <c r="G26" s="13" t="s">
        <v>20</v>
      </c>
      <c r="H26" s="13" t="s">
        <v>20</v>
      </c>
      <c r="I26" s="13" t="s">
        <v>20</v>
      </c>
      <c r="J26" s="14" t="s">
        <v>20</v>
      </c>
      <c r="K26" s="14" t="s">
        <v>20</v>
      </c>
      <c r="L26" s="14"/>
      <c r="M26" s="14" t="s">
        <v>20</v>
      </c>
      <c r="N26" s="14" t="s">
        <v>21</v>
      </c>
      <c r="O26" s="14" t="s">
        <v>20</v>
      </c>
      <c r="P26" s="14" t="s">
        <v>20</v>
      </c>
      <c r="Q26" s="14" t="s">
        <v>20</v>
      </c>
      <c r="R26" s="12"/>
      <c r="S26" s="16">
        <f t="shared" ca="1" si="0"/>
        <v>4732.2605230875197</v>
      </c>
    </row>
    <row r="27" spans="1:20" ht="43.2" x14ac:dyDescent="0.3">
      <c r="A27" s="47" t="s">
        <v>36</v>
      </c>
      <c r="B27" s="9" t="s">
        <v>24</v>
      </c>
      <c r="C27" s="13" t="s">
        <v>27</v>
      </c>
      <c r="D27" s="14" t="s">
        <v>25</v>
      </c>
      <c r="E27" s="13"/>
      <c r="F27" s="13" t="s">
        <v>339</v>
      </c>
      <c r="G27" s="13" t="s">
        <v>339</v>
      </c>
      <c r="H27" s="13" t="s">
        <v>339</v>
      </c>
      <c r="I27" s="13" t="s">
        <v>339</v>
      </c>
      <c r="J27" s="13" t="s">
        <v>339</v>
      </c>
      <c r="K27" s="13" t="s">
        <v>339</v>
      </c>
      <c r="L27" s="13"/>
      <c r="M27" s="14" t="s">
        <v>339</v>
      </c>
      <c r="N27" s="14" t="s">
        <v>339</v>
      </c>
      <c r="O27" s="14" t="s">
        <v>20</v>
      </c>
      <c r="P27" s="14" t="s">
        <v>20</v>
      </c>
      <c r="Q27" s="14" t="s">
        <v>20</v>
      </c>
      <c r="R27" s="12"/>
      <c r="S27" s="16">
        <f t="shared" ca="1" si="0"/>
        <v>3392.5964222751195</v>
      </c>
    </row>
    <row r="28" spans="1:20" ht="43.2" x14ac:dyDescent="0.3">
      <c r="A28" s="67" t="s">
        <v>38</v>
      </c>
      <c r="B28" s="9" t="s">
        <v>18</v>
      </c>
      <c r="C28" s="13" t="s">
        <v>19</v>
      </c>
      <c r="D28" s="14">
        <v>0.02</v>
      </c>
      <c r="E28" s="14">
        <v>0.03</v>
      </c>
      <c r="F28" s="14" t="s">
        <v>30</v>
      </c>
      <c r="G28" s="14" t="s">
        <v>30</v>
      </c>
      <c r="H28" s="14" t="s">
        <v>30</v>
      </c>
      <c r="I28" s="14" t="s">
        <v>30</v>
      </c>
      <c r="J28" s="14" t="s">
        <v>30</v>
      </c>
      <c r="K28" s="14" t="s">
        <v>30</v>
      </c>
      <c r="L28" s="14" t="s">
        <v>30</v>
      </c>
      <c r="M28" s="14" t="s">
        <v>20</v>
      </c>
      <c r="N28" s="14" t="s">
        <v>20</v>
      </c>
      <c r="O28" s="14" t="s">
        <v>20</v>
      </c>
      <c r="P28" s="14" t="s">
        <v>20</v>
      </c>
      <c r="Q28" s="14" t="s">
        <v>20</v>
      </c>
      <c r="R28" s="12"/>
      <c r="S28" s="16">
        <f t="shared" ca="1" si="0"/>
        <v>5112.83</v>
      </c>
    </row>
    <row r="29" spans="1:20" ht="43.2" x14ac:dyDescent="0.3">
      <c r="A29" s="47" t="s">
        <v>38</v>
      </c>
      <c r="B29" s="9" t="s">
        <v>22</v>
      </c>
      <c r="C29" s="13" t="s">
        <v>19</v>
      </c>
      <c r="D29" s="68">
        <v>2.8267697668260001E-2</v>
      </c>
      <c r="E29" s="65" t="s">
        <v>23</v>
      </c>
      <c r="F29" s="14" t="s">
        <v>30</v>
      </c>
      <c r="G29" s="14" t="s">
        <v>30</v>
      </c>
      <c r="H29" s="14" t="s">
        <v>30</v>
      </c>
      <c r="I29" s="14" t="s">
        <v>30</v>
      </c>
      <c r="J29" s="14" t="s">
        <v>30</v>
      </c>
      <c r="K29" s="14" t="s">
        <v>30</v>
      </c>
      <c r="L29" s="14" t="s">
        <v>30</v>
      </c>
      <c r="M29" s="14" t="s">
        <v>20</v>
      </c>
      <c r="N29" s="14" t="s">
        <v>20</v>
      </c>
      <c r="O29" s="14" t="s">
        <v>20</v>
      </c>
      <c r="P29" s="14" t="s">
        <v>20</v>
      </c>
      <c r="Q29" s="14" t="s">
        <v>20</v>
      </c>
      <c r="R29" s="12"/>
      <c r="S29" s="16">
        <f t="shared" ca="1" si="0"/>
        <v>1127.0948785111796</v>
      </c>
    </row>
    <row r="30" spans="1:20" ht="43.2" x14ac:dyDescent="0.3">
      <c r="A30" s="47" t="s">
        <v>38</v>
      </c>
      <c r="B30" s="9" t="s">
        <v>24</v>
      </c>
      <c r="C30" s="13" t="s">
        <v>27</v>
      </c>
      <c r="D30" s="68">
        <v>-1.4885343383000001E-4</v>
      </c>
      <c r="E30" s="13"/>
      <c r="F30" s="13" t="s">
        <v>339</v>
      </c>
      <c r="G30" s="13" t="s">
        <v>339</v>
      </c>
      <c r="H30" s="13" t="s">
        <v>339</v>
      </c>
      <c r="I30" s="13" t="s">
        <v>339</v>
      </c>
      <c r="J30" s="13" t="s">
        <v>339</v>
      </c>
      <c r="K30" s="13" t="s">
        <v>339</v>
      </c>
      <c r="L30" s="13" t="s">
        <v>339</v>
      </c>
      <c r="M30" s="14" t="s">
        <v>339</v>
      </c>
      <c r="N30" s="14" t="s">
        <v>339</v>
      </c>
      <c r="O30" s="14" t="s">
        <v>20</v>
      </c>
      <c r="P30" s="14" t="s">
        <v>20</v>
      </c>
      <c r="Q30" s="14" t="s">
        <v>20</v>
      </c>
      <c r="R30" s="12"/>
      <c r="S30" s="16">
        <f t="shared" ca="1" si="0"/>
        <v>1924.5463544966301</v>
      </c>
    </row>
    <row r="31" spans="1:20" ht="43.2" x14ac:dyDescent="0.3">
      <c r="A31" s="67" t="s">
        <v>39</v>
      </c>
      <c r="B31" s="9" t="s">
        <v>18</v>
      </c>
      <c r="C31" s="14" t="s">
        <v>19</v>
      </c>
      <c r="D31" s="14">
        <v>0.04</v>
      </c>
      <c r="E31" s="14">
        <v>0.04</v>
      </c>
      <c r="F31" s="14" t="s">
        <v>20</v>
      </c>
      <c r="G31" s="14" t="s">
        <v>21</v>
      </c>
      <c r="H31" s="14" t="s">
        <v>20</v>
      </c>
      <c r="I31" s="14" t="s">
        <v>20</v>
      </c>
      <c r="J31" s="14" t="s">
        <v>20</v>
      </c>
      <c r="K31" s="14" t="s">
        <v>20</v>
      </c>
      <c r="L31" s="14" t="s">
        <v>20</v>
      </c>
      <c r="M31" s="14" t="s">
        <v>20</v>
      </c>
      <c r="N31" s="14" t="s">
        <v>20</v>
      </c>
      <c r="O31" s="14" t="s">
        <v>20</v>
      </c>
      <c r="P31" s="14" t="s">
        <v>20</v>
      </c>
      <c r="Q31" s="14" t="s">
        <v>20</v>
      </c>
      <c r="R31" s="12"/>
      <c r="S31" s="16">
        <f t="shared" ca="1" si="0"/>
        <v>780.38</v>
      </c>
    </row>
    <row r="32" spans="1:20" ht="43.2" x14ac:dyDescent="0.3">
      <c r="A32" s="47" t="s">
        <v>39</v>
      </c>
      <c r="B32" s="9" t="s">
        <v>22</v>
      </c>
      <c r="C32" s="13" t="s">
        <v>19</v>
      </c>
      <c r="D32" s="13">
        <v>0.15</v>
      </c>
      <c r="E32" s="65" t="s">
        <v>23</v>
      </c>
      <c r="F32" s="14" t="s">
        <v>20</v>
      </c>
      <c r="G32" s="14" t="s">
        <v>339</v>
      </c>
      <c r="H32" s="14" t="s">
        <v>20</v>
      </c>
      <c r="I32" s="14" t="s">
        <v>20</v>
      </c>
      <c r="J32" s="14" t="s">
        <v>20</v>
      </c>
      <c r="K32" s="14" t="s">
        <v>20</v>
      </c>
      <c r="L32" s="14" t="s">
        <v>20</v>
      </c>
      <c r="M32" s="14" t="s">
        <v>20</v>
      </c>
      <c r="N32" s="14" t="s">
        <v>20</v>
      </c>
      <c r="O32" s="14" t="s">
        <v>20</v>
      </c>
      <c r="P32" s="14" t="s">
        <v>20</v>
      </c>
      <c r="Q32" s="14" t="s">
        <v>20</v>
      </c>
      <c r="R32" s="12"/>
      <c r="S32" s="16">
        <f t="shared" ca="1" si="0"/>
        <v>3815.0024094420801</v>
      </c>
    </row>
    <row r="33" spans="1:19" ht="43.2" x14ac:dyDescent="0.3">
      <c r="A33" s="47" t="s">
        <v>39</v>
      </c>
      <c r="B33" s="9" t="s">
        <v>24</v>
      </c>
      <c r="C33" s="13" t="s">
        <v>33</v>
      </c>
      <c r="D33" s="13">
        <v>-0.05</v>
      </c>
      <c r="E33" s="13">
        <v>-0.05</v>
      </c>
      <c r="F33" s="13" t="s">
        <v>339</v>
      </c>
      <c r="G33" s="13" t="s">
        <v>339</v>
      </c>
      <c r="H33" s="13" t="s">
        <v>339</v>
      </c>
      <c r="I33" s="13" t="s">
        <v>339</v>
      </c>
      <c r="J33" s="13" t="s">
        <v>339</v>
      </c>
      <c r="K33" s="13" t="s">
        <v>339</v>
      </c>
      <c r="L33" s="13" t="s">
        <v>339</v>
      </c>
      <c r="M33" s="14" t="s">
        <v>339</v>
      </c>
      <c r="N33" s="14" t="s">
        <v>339</v>
      </c>
      <c r="O33" s="14" t="s">
        <v>21</v>
      </c>
      <c r="P33" s="14" t="s">
        <v>21</v>
      </c>
      <c r="Q33" s="14" t="s">
        <v>21</v>
      </c>
      <c r="R33" s="12"/>
      <c r="S33" s="16">
        <f t="shared" ca="1" si="0"/>
        <v>175.72997012684971</v>
      </c>
    </row>
    <row r="34" spans="1:19" ht="43.2" x14ac:dyDescent="0.3">
      <c r="A34" s="47" t="s">
        <v>40</v>
      </c>
      <c r="B34" s="9" t="s">
        <v>18</v>
      </c>
      <c r="C34" s="13" t="s">
        <v>19</v>
      </c>
      <c r="D34" s="13">
        <v>0.09</v>
      </c>
      <c r="E34" s="13">
        <v>0.09</v>
      </c>
      <c r="F34" s="13" t="s">
        <v>20</v>
      </c>
      <c r="G34" s="13" t="s">
        <v>20</v>
      </c>
      <c r="H34" s="13" t="s">
        <v>21</v>
      </c>
      <c r="I34" s="13" t="s">
        <v>20</v>
      </c>
      <c r="J34" s="13" t="s">
        <v>21</v>
      </c>
      <c r="K34" s="13" t="s">
        <v>20</v>
      </c>
      <c r="L34" s="13" t="s">
        <v>21</v>
      </c>
      <c r="M34" s="14" t="s">
        <v>21</v>
      </c>
      <c r="N34" s="14" t="s">
        <v>20</v>
      </c>
      <c r="O34" s="14" t="s">
        <v>20</v>
      </c>
      <c r="P34" s="14" t="s">
        <v>20</v>
      </c>
      <c r="Q34" s="14" t="s">
        <v>20</v>
      </c>
      <c r="R34" s="12"/>
      <c r="S34" s="16">
        <f t="shared" ca="1" si="0"/>
        <v>8824.32</v>
      </c>
    </row>
    <row r="35" spans="1:19" ht="43.2" x14ac:dyDescent="0.3">
      <c r="A35" s="47" t="s">
        <v>40</v>
      </c>
      <c r="B35" s="9" t="s">
        <v>22</v>
      </c>
      <c r="C35" s="13" t="s">
        <v>19</v>
      </c>
      <c r="D35" s="13">
        <v>0.02</v>
      </c>
      <c r="E35" s="65" t="s">
        <v>23</v>
      </c>
      <c r="F35" s="13" t="s">
        <v>20</v>
      </c>
      <c r="G35" s="13" t="s">
        <v>20</v>
      </c>
      <c r="H35" s="13" t="s">
        <v>20</v>
      </c>
      <c r="I35" s="13" t="s">
        <v>20</v>
      </c>
      <c r="J35" s="13" t="s">
        <v>21</v>
      </c>
      <c r="K35" s="13" t="s">
        <v>20</v>
      </c>
      <c r="L35" s="13" t="s">
        <v>20</v>
      </c>
      <c r="M35" s="14" t="s">
        <v>20</v>
      </c>
      <c r="N35" s="14" t="s">
        <v>20</v>
      </c>
      <c r="O35" s="14" t="s">
        <v>20</v>
      </c>
      <c r="P35" s="14" t="s">
        <v>20</v>
      </c>
      <c r="Q35" s="14" t="s">
        <v>20</v>
      </c>
      <c r="R35" s="12"/>
      <c r="S35" s="16">
        <f t="shared" ref="S35:S62" ca="1" si="1">VLOOKUP(A35,INDIRECT("Area_"&amp;B35&amp;"!$A$5:$D$51",TRUE),2,FALSE)</f>
        <v>6748.7134176222762</v>
      </c>
    </row>
    <row r="36" spans="1:19" ht="43.2" x14ac:dyDescent="0.3">
      <c r="A36" s="47" t="s">
        <v>40</v>
      </c>
      <c r="B36" s="9" t="s">
        <v>24</v>
      </c>
      <c r="C36" s="13" t="s">
        <v>27</v>
      </c>
      <c r="D36" s="13" t="s">
        <v>23</v>
      </c>
      <c r="E36" s="13"/>
      <c r="F36" s="13" t="s">
        <v>339</v>
      </c>
      <c r="G36" s="13" t="s">
        <v>339</v>
      </c>
      <c r="H36" s="13" t="s">
        <v>339</v>
      </c>
      <c r="I36" s="13" t="s">
        <v>339</v>
      </c>
      <c r="J36" s="13" t="s">
        <v>339</v>
      </c>
      <c r="K36" s="13" t="s">
        <v>339</v>
      </c>
      <c r="L36" s="13" t="s">
        <v>339</v>
      </c>
      <c r="M36" s="14" t="s">
        <v>339</v>
      </c>
      <c r="N36" s="14" t="s">
        <v>339</v>
      </c>
      <c r="O36" s="14" t="s">
        <v>20</v>
      </c>
      <c r="P36" s="14" t="s">
        <v>20</v>
      </c>
      <c r="Q36" s="14" t="s">
        <v>20</v>
      </c>
      <c r="R36" s="12"/>
      <c r="S36" s="16">
        <f t="shared" ca="1" si="1"/>
        <v>8157.4246597237425</v>
      </c>
    </row>
    <row r="37" spans="1:19" ht="43.2" x14ac:dyDescent="0.3">
      <c r="A37" s="47" t="s">
        <v>41</v>
      </c>
      <c r="B37" s="9" t="s">
        <v>18</v>
      </c>
      <c r="C37" s="13" t="s">
        <v>27</v>
      </c>
      <c r="D37" s="13" t="s">
        <v>25</v>
      </c>
      <c r="E37" s="13"/>
      <c r="F37" s="13" t="s">
        <v>20</v>
      </c>
      <c r="G37" s="13" t="s">
        <v>20</v>
      </c>
      <c r="H37" s="13" t="s">
        <v>20</v>
      </c>
      <c r="I37" s="13" t="s">
        <v>20</v>
      </c>
      <c r="J37" s="13" t="s">
        <v>20</v>
      </c>
      <c r="K37" s="13" t="s">
        <v>20</v>
      </c>
      <c r="L37" s="13" t="s">
        <v>20</v>
      </c>
      <c r="M37" s="14" t="s">
        <v>20</v>
      </c>
      <c r="N37" s="14" t="s">
        <v>20</v>
      </c>
      <c r="O37" s="14" t="s">
        <v>20</v>
      </c>
      <c r="P37" s="14" t="s">
        <v>20</v>
      </c>
      <c r="Q37" s="14" t="s">
        <v>20</v>
      </c>
      <c r="R37" s="12"/>
      <c r="S37" s="16">
        <f t="shared" ca="1" si="1"/>
        <v>1303.99</v>
      </c>
    </row>
    <row r="38" spans="1:19" ht="43.2" x14ac:dyDescent="0.3">
      <c r="A38" s="47" t="s">
        <v>41</v>
      </c>
      <c r="B38" s="9" t="s">
        <v>22</v>
      </c>
      <c r="C38" s="13" t="s">
        <v>27</v>
      </c>
      <c r="D38" s="13" t="s">
        <v>25</v>
      </c>
      <c r="E38" s="65" t="s">
        <v>23</v>
      </c>
      <c r="F38" s="13" t="s">
        <v>20</v>
      </c>
      <c r="G38" s="13" t="s">
        <v>20</v>
      </c>
      <c r="H38" s="13" t="s">
        <v>20</v>
      </c>
      <c r="I38" s="13" t="s">
        <v>20</v>
      </c>
      <c r="J38" s="13" t="s">
        <v>20</v>
      </c>
      <c r="K38" s="13" t="s">
        <v>20</v>
      </c>
      <c r="L38" s="13" t="s">
        <v>20</v>
      </c>
      <c r="M38" s="14" t="s">
        <v>20</v>
      </c>
      <c r="N38" s="14" t="s">
        <v>20</v>
      </c>
      <c r="O38" s="14" t="s">
        <v>20</v>
      </c>
      <c r="P38" s="14" t="s">
        <v>20</v>
      </c>
      <c r="Q38" s="14" t="s">
        <v>20</v>
      </c>
      <c r="R38" s="12"/>
      <c r="S38" s="16">
        <f t="shared" ca="1" si="1"/>
        <v>410.90356600000001</v>
      </c>
    </row>
    <row r="39" spans="1:19" ht="43.2" x14ac:dyDescent="0.3">
      <c r="A39" s="47" t="s">
        <v>41</v>
      </c>
      <c r="B39" s="9" t="s">
        <v>24</v>
      </c>
      <c r="C39" s="13" t="s">
        <v>27</v>
      </c>
      <c r="D39" s="13" t="s">
        <v>25</v>
      </c>
      <c r="E39" s="13"/>
      <c r="F39" s="13" t="s">
        <v>339</v>
      </c>
      <c r="G39" s="13" t="s">
        <v>339</v>
      </c>
      <c r="H39" s="13" t="s">
        <v>339</v>
      </c>
      <c r="I39" s="13" t="s">
        <v>339</v>
      </c>
      <c r="J39" s="13" t="s">
        <v>339</v>
      </c>
      <c r="K39" s="13" t="s">
        <v>339</v>
      </c>
      <c r="L39" s="13" t="s">
        <v>339</v>
      </c>
      <c r="M39" s="14" t="s">
        <v>339</v>
      </c>
      <c r="N39" s="14" t="s">
        <v>339</v>
      </c>
      <c r="O39" s="14" t="s">
        <v>20</v>
      </c>
      <c r="P39" s="14" t="s">
        <v>20</v>
      </c>
      <c r="Q39" s="14" t="s">
        <v>20</v>
      </c>
      <c r="R39" s="12"/>
      <c r="S39" s="16">
        <f t="shared" ca="1" si="1"/>
        <v>2730.5551839999998</v>
      </c>
    </row>
    <row r="40" spans="1:19" ht="43.2" x14ac:dyDescent="0.3">
      <c r="A40" s="47" t="s">
        <v>42</v>
      </c>
      <c r="B40" s="9" t="s">
        <v>18</v>
      </c>
      <c r="C40" s="13" t="s">
        <v>19</v>
      </c>
      <c r="D40" s="68">
        <v>0.22</v>
      </c>
      <c r="E40" s="13">
        <v>0.22</v>
      </c>
      <c r="F40" s="13" t="s">
        <v>20</v>
      </c>
      <c r="G40" s="13" t="s">
        <v>30</v>
      </c>
      <c r="H40" s="13" t="s">
        <v>20</v>
      </c>
      <c r="I40" s="13" t="s">
        <v>20</v>
      </c>
      <c r="J40" s="13" t="s">
        <v>21</v>
      </c>
      <c r="K40" s="13" t="s">
        <v>20</v>
      </c>
      <c r="L40" s="13" t="s">
        <v>21</v>
      </c>
      <c r="M40" s="14" t="s">
        <v>20</v>
      </c>
      <c r="N40" s="14" t="s">
        <v>20</v>
      </c>
      <c r="O40" s="14" t="s">
        <v>20</v>
      </c>
      <c r="P40" s="14" t="s">
        <v>20</v>
      </c>
      <c r="Q40" s="14" t="s">
        <v>20</v>
      </c>
      <c r="R40" s="12"/>
      <c r="S40" s="16">
        <f t="shared" ca="1" si="1"/>
        <v>1268.1400000000001</v>
      </c>
    </row>
    <row r="41" spans="1:19" ht="43.2" x14ac:dyDescent="0.3">
      <c r="A41" s="47" t="s">
        <v>42</v>
      </c>
      <c r="B41" s="9" t="s">
        <v>22</v>
      </c>
      <c r="C41" s="13" t="s">
        <v>27</v>
      </c>
      <c r="D41" s="13" t="s">
        <v>25</v>
      </c>
      <c r="E41" s="65" t="s">
        <v>23</v>
      </c>
      <c r="F41" s="13" t="s">
        <v>20</v>
      </c>
      <c r="G41" s="13" t="s">
        <v>20</v>
      </c>
      <c r="H41" s="13" t="s">
        <v>20</v>
      </c>
      <c r="I41" s="13" t="s">
        <v>20</v>
      </c>
      <c r="J41" s="13" t="s">
        <v>20</v>
      </c>
      <c r="K41" s="13" t="s">
        <v>20</v>
      </c>
      <c r="L41" s="13" t="s">
        <v>20</v>
      </c>
      <c r="M41" s="14" t="s">
        <v>20</v>
      </c>
      <c r="N41" s="14" t="s">
        <v>20</v>
      </c>
      <c r="O41" s="14" t="s">
        <v>20</v>
      </c>
      <c r="P41" s="14" t="s">
        <v>20</v>
      </c>
      <c r="Q41" s="14" t="s">
        <v>20</v>
      </c>
      <c r="R41" s="12"/>
      <c r="S41" s="16">
        <f t="shared" ca="1" si="1"/>
        <v>783.99206621455505</v>
      </c>
    </row>
    <row r="42" spans="1:19" ht="43.2" x14ac:dyDescent="0.3">
      <c r="A42" s="47" t="s">
        <v>42</v>
      </c>
      <c r="B42" s="9" t="s">
        <v>24</v>
      </c>
      <c r="C42" s="13" t="s">
        <v>27</v>
      </c>
      <c r="D42" s="13" t="s">
        <v>25</v>
      </c>
      <c r="E42" s="13"/>
      <c r="F42" s="13" t="s">
        <v>339</v>
      </c>
      <c r="G42" s="13" t="s">
        <v>339</v>
      </c>
      <c r="H42" s="13" t="s">
        <v>339</v>
      </c>
      <c r="I42" s="13" t="s">
        <v>339</v>
      </c>
      <c r="J42" s="13" t="s">
        <v>339</v>
      </c>
      <c r="K42" s="13" t="s">
        <v>339</v>
      </c>
      <c r="L42" s="13" t="s">
        <v>339</v>
      </c>
      <c r="M42" s="14" t="s">
        <v>339</v>
      </c>
      <c r="N42" s="14" t="s">
        <v>339</v>
      </c>
      <c r="O42" s="14" t="s">
        <v>20</v>
      </c>
      <c r="P42" s="14" t="s">
        <v>20</v>
      </c>
      <c r="Q42" s="14" t="s">
        <v>20</v>
      </c>
      <c r="R42" s="12"/>
      <c r="S42" s="16">
        <f t="shared" ca="1" si="1"/>
        <v>1798.595685345289</v>
      </c>
    </row>
    <row r="43" spans="1:19" ht="43.2" x14ac:dyDescent="0.3">
      <c r="A43" s="47" t="s">
        <v>43</v>
      </c>
      <c r="B43" s="9" t="s">
        <v>18</v>
      </c>
      <c r="C43" s="13" t="s">
        <v>19</v>
      </c>
      <c r="D43" s="68">
        <v>4.7832709187999999E-4</v>
      </c>
      <c r="E43" s="13"/>
      <c r="F43" s="13" t="s">
        <v>20</v>
      </c>
      <c r="G43" s="13" t="s">
        <v>20</v>
      </c>
      <c r="H43" s="13" t="s">
        <v>20</v>
      </c>
      <c r="I43" s="13" t="s">
        <v>20</v>
      </c>
      <c r="J43" s="13" t="s">
        <v>20</v>
      </c>
      <c r="K43" s="13" t="s">
        <v>20</v>
      </c>
      <c r="L43" s="13" t="s">
        <v>21</v>
      </c>
      <c r="M43" s="14" t="s">
        <v>20</v>
      </c>
      <c r="N43" s="14" t="s">
        <v>21</v>
      </c>
      <c r="O43" s="14" t="s">
        <v>20</v>
      </c>
      <c r="P43" s="14" t="s">
        <v>20</v>
      </c>
      <c r="Q43" s="14" t="s">
        <v>20</v>
      </c>
      <c r="R43" s="12"/>
      <c r="S43" s="16">
        <f t="shared" ca="1" si="1"/>
        <v>53.75</v>
      </c>
    </row>
    <row r="44" spans="1:19" ht="43.2" x14ac:dyDescent="0.3">
      <c r="A44" s="47" t="s">
        <v>43</v>
      </c>
      <c r="B44" s="9" t="s">
        <v>22</v>
      </c>
      <c r="C44" s="13" t="s">
        <v>27</v>
      </c>
      <c r="D44" s="13" t="s">
        <v>25</v>
      </c>
      <c r="E44" s="65" t="s">
        <v>23</v>
      </c>
      <c r="F44" s="13" t="s">
        <v>20</v>
      </c>
      <c r="G44" s="13" t="s">
        <v>20</v>
      </c>
      <c r="H44" s="13" t="s">
        <v>20</v>
      </c>
      <c r="I44" s="13" t="s">
        <v>20</v>
      </c>
      <c r="J44" s="13" t="s">
        <v>20</v>
      </c>
      <c r="K44" s="13" t="s">
        <v>20</v>
      </c>
      <c r="L44" s="13" t="s">
        <v>20</v>
      </c>
      <c r="M44" s="14" t="s">
        <v>20</v>
      </c>
      <c r="N44" s="14" t="s">
        <v>20</v>
      </c>
      <c r="O44" s="14" t="s">
        <v>20</v>
      </c>
      <c r="P44" s="14" t="s">
        <v>20</v>
      </c>
      <c r="Q44" s="14" t="s">
        <v>20</v>
      </c>
      <c r="R44" s="12"/>
      <c r="S44" s="16">
        <f t="shared" ca="1" si="1"/>
        <v>65.65109082251314</v>
      </c>
    </row>
    <row r="45" spans="1:19" ht="43.2" x14ac:dyDescent="0.3">
      <c r="A45" s="47" t="s">
        <v>43</v>
      </c>
      <c r="B45" s="9" t="s">
        <v>24</v>
      </c>
      <c r="C45" s="13" t="s">
        <v>27</v>
      </c>
      <c r="D45" s="13" t="s">
        <v>25</v>
      </c>
      <c r="E45" s="13"/>
      <c r="F45" s="13" t="s">
        <v>339</v>
      </c>
      <c r="G45" s="13" t="s">
        <v>339</v>
      </c>
      <c r="H45" s="13" t="s">
        <v>339</v>
      </c>
      <c r="I45" s="13" t="s">
        <v>339</v>
      </c>
      <c r="J45" s="13" t="s">
        <v>339</v>
      </c>
      <c r="K45" s="13" t="s">
        <v>339</v>
      </c>
      <c r="L45" s="13" t="s">
        <v>339</v>
      </c>
      <c r="M45" s="14" t="s">
        <v>339</v>
      </c>
      <c r="N45" s="14" t="s">
        <v>339</v>
      </c>
      <c r="O45" s="14" t="s">
        <v>20</v>
      </c>
      <c r="P45" s="14" t="s">
        <v>20</v>
      </c>
      <c r="Q45" s="14" t="s">
        <v>20</v>
      </c>
      <c r="R45" s="12"/>
      <c r="S45" s="16">
        <f t="shared" ca="1" si="1"/>
        <v>93.491736411930219</v>
      </c>
    </row>
    <row r="46" spans="1:19" ht="43.2" x14ac:dyDescent="0.3">
      <c r="A46" s="47" t="s">
        <v>44</v>
      </c>
      <c r="B46" s="9" t="s">
        <v>18</v>
      </c>
      <c r="C46" s="13" t="s">
        <v>27</v>
      </c>
      <c r="D46" s="68">
        <v>9.8975468975499997E-3</v>
      </c>
      <c r="E46" s="13">
        <v>0.01</v>
      </c>
      <c r="F46" s="13" t="s">
        <v>20</v>
      </c>
      <c r="G46" s="13" t="s">
        <v>20</v>
      </c>
      <c r="H46" s="13" t="s">
        <v>20</v>
      </c>
      <c r="I46" s="13" t="s">
        <v>20</v>
      </c>
      <c r="J46" s="13" t="s">
        <v>20</v>
      </c>
      <c r="K46" s="13" t="s">
        <v>20</v>
      </c>
      <c r="L46" s="13" t="s">
        <v>20</v>
      </c>
      <c r="M46" s="14" t="s">
        <v>20</v>
      </c>
      <c r="N46" s="14" t="s">
        <v>21</v>
      </c>
      <c r="O46" s="14" t="s">
        <v>20</v>
      </c>
      <c r="P46" s="14" t="s">
        <v>20</v>
      </c>
      <c r="Q46" s="14" t="s">
        <v>20</v>
      </c>
      <c r="R46" s="12"/>
      <c r="S46" s="16">
        <f t="shared" ca="1" si="1"/>
        <v>1.39</v>
      </c>
    </row>
    <row r="47" spans="1:19" ht="43.2" x14ac:dyDescent="0.3">
      <c r="A47" s="47" t="s">
        <v>44</v>
      </c>
      <c r="B47" s="9" t="s">
        <v>22</v>
      </c>
      <c r="C47" s="13" t="s">
        <v>27</v>
      </c>
      <c r="D47" s="68">
        <v>2.9616513204499999E-3</v>
      </c>
      <c r="E47" s="65" t="s">
        <v>23</v>
      </c>
      <c r="F47" s="13" t="s">
        <v>20</v>
      </c>
      <c r="G47" s="13" t="s">
        <v>20</v>
      </c>
      <c r="H47" s="13" t="s">
        <v>20</v>
      </c>
      <c r="I47" s="13" t="s">
        <v>20</v>
      </c>
      <c r="J47" s="13" t="s">
        <v>20</v>
      </c>
      <c r="K47" s="13" t="s">
        <v>20</v>
      </c>
      <c r="L47" s="13" t="s">
        <v>20</v>
      </c>
      <c r="M47" s="14" t="s">
        <v>20</v>
      </c>
      <c r="N47" s="14" t="s">
        <v>20</v>
      </c>
      <c r="O47" s="14" t="s">
        <v>20</v>
      </c>
      <c r="P47" s="14" t="s">
        <v>20</v>
      </c>
      <c r="Q47" s="14" t="s">
        <v>20</v>
      </c>
      <c r="R47" s="12"/>
      <c r="S47" s="16">
        <f t="shared" ca="1" si="1"/>
        <v>9.8829999999999991</v>
      </c>
    </row>
    <row r="48" spans="1:19" ht="43.2" x14ac:dyDescent="0.3">
      <c r="A48" s="47" t="s">
        <v>44</v>
      </c>
      <c r="B48" s="9" t="s">
        <v>24</v>
      </c>
      <c r="C48" s="13" t="s">
        <v>27</v>
      </c>
      <c r="D48" s="13" t="s">
        <v>25</v>
      </c>
      <c r="E48" s="13"/>
      <c r="F48" s="13" t="s">
        <v>339</v>
      </c>
      <c r="G48" s="13" t="s">
        <v>339</v>
      </c>
      <c r="H48" s="13" t="s">
        <v>339</v>
      </c>
      <c r="I48" s="13" t="s">
        <v>339</v>
      </c>
      <c r="J48" s="13" t="s">
        <v>339</v>
      </c>
      <c r="K48" s="13" t="s">
        <v>339</v>
      </c>
      <c r="L48" s="13" t="s">
        <v>339</v>
      </c>
      <c r="M48" s="14" t="s">
        <v>339</v>
      </c>
      <c r="N48" s="14" t="s">
        <v>339</v>
      </c>
      <c r="O48" s="14" t="s">
        <v>20</v>
      </c>
      <c r="P48" s="14" t="s">
        <v>20</v>
      </c>
      <c r="Q48" s="14" t="s">
        <v>20</v>
      </c>
      <c r="R48" s="12"/>
      <c r="S48" s="16">
        <f t="shared" ca="1" si="1"/>
        <v>7.1999999999999995E-2</v>
      </c>
    </row>
    <row r="49" spans="1:19" ht="43.2" x14ac:dyDescent="0.3">
      <c r="A49" s="47" t="s">
        <v>45</v>
      </c>
      <c r="B49" s="9" t="s">
        <v>18</v>
      </c>
      <c r="C49" s="13" t="s">
        <v>27</v>
      </c>
      <c r="D49" s="13" t="s">
        <v>25</v>
      </c>
      <c r="E49" s="13"/>
      <c r="F49" s="13" t="s">
        <v>20</v>
      </c>
      <c r="G49" s="13" t="s">
        <v>21</v>
      </c>
      <c r="H49" s="13" t="s">
        <v>20</v>
      </c>
      <c r="I49" s="13" t="s">
        <v>20</v>
      </c>
      <c r="J49" s="13" t="s">
        <v>20</v>
      </c>
      <c r="K49" s="13" t="s">
        <v>20</v>
      </c>
      <c r="L49" s="13" t="s">
        <v>20</v>
      </c>
      <c r="M49" s="14" t="s">
        <v>20</v>
      </c>
      <c r="N49" s="14" t="s">
        <v>20</v>
      </c>
      <c r="O49" s="14" t="s">
        <v>20</v>
      </c>
      <c r="P49" s="14" t="s">
        <v>20</v>
      </c>
      <c r="Q49" s="14" t="s">
        <v>20</v>
      </c>
      <c r="R49" s="12"/>
      <c r="S49" s="16">
        <f t="shared" ca="1" si="1"/>
        <v>509.9</v>
      </c>
    </row>
    <row r="50" spans="1:19" ht="43.2" x14ac:dyDescent="0.3">
      <c r="A50" s="47" t="s">
        <v>45</v>
      </c>
      <c r="B50" s="9" t="s">
        <v>22</v>
      </c>
      <c r="C50" s="13" t="s">
        <v>27</v>
      </c>
      <c r="D50" s="68">
        <v>3.27335750325E-3</v>
      </c>
      <c r="E50" s="65" t="s">
        <v>23</v>
      </c>
      <c r="F50" s="13" t="s">
        <v>20</v>
      </c>
      <c r="G50" s="13" t="s">
        <v>20</v>
      </c>
      <c r="H50" s="13" t="s">
        <v>20</v>
      </c>
      <c r="I50" s="13" t="s">
        <v>20</v>
      </c>
      <c r="J50" s="13" t="s">
        <v>20</v>
      </c>
      <c r="K50" s="13" t="s">
        <v>20</v>
      </c>
      <c r="L50" s="13" t="s">
        <v>20</v>
      </c>
      <c r="M50" s="14" t="s">
        <v>20</v>
      </c>
      <c r="N50" s="14" t="s">
        <v>20</v>
      </c>
      <c r="O50" s="14" t="s">
        <v>20</v>
      </c>
      <c r="P50" s="14" t="s">
        <v>37</v>
      </c>
      <c r="Q50" s="14" t="s">
        <v>37</v>
      </c>
      <c r="R50" s="12"/>
      <c r="S50" s="16">
        <f t="shared" ca="1" si="1"/>
        <v>713.98304574999997</v>
      </c>
    </row>
    <row r="51" spans="1:19" ht="43.2" x14ac:dyDescent="0.3">
      <c r="A51" s="47" t="s">
        <v>45</v>
      </c>
      <c r="B51" s="9" t="s">
        <v>24</v>
      </c>
      <c r="C51" s="13" t="s">
        <v>27</v>
      </c>
      <c r="D51" s="13" t="s">
        <v>25</v>
      </c>
      <c r="E51" s="13"/>
      <c r="F51" s="13" t="s">
        <v>339</v>
      </c>
      <c r="G51" s="13" t="s">
        <v>339</v>
      </c>
      <c r="H51" s="13" t="s">
        <v>339</v>
      </c>
      <c r="I51" s="13" t="s">
        <v>339</v>
      </c>
      <c r="J51" s="13" t="s">
        <v>339</v>
      </c>
      <c r="K51" s="13" t="s">
        <v>339</v>
      </c>
      <c r="L51" s="13" t="s">
        <v>339</v>
      </c>
      <c r="M51" s="14" t="s">
        <v>339</v>
      </c>
      <c r="N51" s="14" t="s">
        <v>339</v>
      </c>
      <c r="O51" s="14" t="s">
        <v>20</v>
      </c>
      <c r="P51" s="14" t="s">
        <v>20</v>
      </c>
      <c r="Q51" s="14" t="s">
        <v>20</v>
      </c>
      <c r="R51" s="12"/>
      <c r="S51" s="16">
        <f t="shared" ca="1" si="1"/>
        <v>304.52413200000001</v>
      </c>
    </row>
    <row r="52" spans="1:19" s="16" customFormat="1" ht="43.2" x14ac:dyDescent="0.3">
      <c r="A52" s="67" t="s">
        <v>46</v>
      </c>
      <c r="B52" s="14" t="s">
        <v>18</v>
      </c>
      <c r="C52" s="14" t="s">
        <v>19</v>
      </c>
      <c r="D52" s="14">
        <v>0</v>
      </c>
      <c r="E52" s="14">
        <v>0</v>
      </c>
      <c r="F52" s="14" t="s">
        <v>20</v>
      </c>
      <c r="G52" s="14" t="s">
        <v>20</v>
      </c>
      <c r="H52" s="14" t="s">
        <v>20</v>
      </c>
      <c r="I52" s="14" t="s">
        <v>20</v>
      </c>
      <c r="J52" s="14" t="s">
        <v>20</v>
      </c>
      <c r="K52" s="14" t="s">
        <v>20</v>
      </c>
      <c r="L52" s="14" t="s">
        <v>20</v>
      </c>
      <c r="M52" s="14" t="s">
        <v>20</v>
      </c>
      <c r="N52" s="14" t="s">
        <v>20</v>
      </c>
      <c r="O52" s="14" t="s">
        <v>20</v>
      </c>
      <c r="P52" s="14" t="s">
        <v>20</v>
      </c>
      <c r="Q52" s="14" t="s">
        <v>20</v>
      </c>
      <c r="R52" s="12"/>
      <c r="S52" s="16">
        <f t="shared" ca="1" si="1"/>
        <v>13467.84</v>
      </c>
    </row>
    <row r="53" spans="1:19" s="16" customFormat="1" ht="43.2" x14ac:dyDescent="0.3">
      <c r="A53" s="67" t="s">
        <v>46</v>
      </c>
      <c r="B53" s="14" t="s">
        <v>22</v>
      </c>
      <c r="C53" s="14" t="s">
        <v>19</v>
      </c>
      <c r="D53" s="14">
        <v>-0.01</v>
      </c>
      <c r="E53" s="65" t="s">
        <v>23</v>
      </c>
      <c r="F53" s="14" t="s">
        <v>20</v>
      </c>
      <c r="G53" s="14" t="s">
        <v>20</v>
      </c>
      <c r="H53" s="14" t="s">
        <v>20</v>
      </c>
      <c r="I53" s="14" t="s">
        <v>20</v>
      </c>
      <c r="J53" s="14" t="s">
        <v>20</v>
      </c>
      <c r="K53" s="14" t="s">
        <v>20</v>
      </c>
      <c r="L53" s="14" t="s">
        <v>20</v>
      </c>
      <c r="M53" s="14" t="s">
        <v>20</v>
      </c>
      <c r="N53" s="14" t="s">
        <v>20</v>
      </c>
      <c r="O53" s="14" t="s">
        <v>20</v>
      </c>
      <c r="P53" s="14" t="s">
        <v>20</v>
      </c>
      <c r="Q53" s="14" t="s">
        <v>20</v>
      </c>
      <c r="R53" s="12"/>
      <c r="S53" s="16">
        <f t="shared" ca="1" si="1"/>
        <v>3223.1103299999977</v>
      </c>
    </row>
    <row r="54" spans="1:19" s="16" customFormat="1" ht="43.2" x14ac:dyDescent="0.3">
      <c r="A54" s="67" t="s">
        <v>46</v>
      </c>
      <c r="B54" s="14" t="s">
        <v>24</v>
      </c>
      <c r="C54" s="14" t="s">
        <v>19</v>
      </c>
      <c r="D54" s="14">
        <v>0.1</v>
      </c>
      <c r="E54" s="14">
        <v>0.1</v>
      </c>
      <c r="F54" s="13" t="s">
        <v>339</v>
      </c>
      <c r="G54" s="13" t="s">
        <v>339</v>
      </c>
      <c r="H54" s="13" t="s">
        <v>339</v>
      </c>
      <c r="I54" s="13" t="s">
        <v>339</v>
      </c>
      <c r="J54" s="13" t="s">
        <v>339</v>
      </c>
      <c r="K54" s="13" t="s">
        <v>339</v>
      </c>
      <c r="L54" s="13" t="s">
        <v>339</v>
      </c>
      <c r="M54" s="14" t="s">
        <v>339</v>
      </c>
      <c r="N54" s="14" t="s">
        <v>339</v>
      </c>
      <c r="O54" s="14" t="s">
        <v>20</v>
      </c>
      <c r="P54" s="14" t="s">
        <v>20</v>
      </c>
      <c r="Q54" s="14" t="s">
        <v>20</v>
      </c>
      <c r="R54" s="12"/>
      <c r="S54" s="16">
        <f t="shared" ca="1" si="1"/>
        <v>8533.55746</v>
      </c>
    </row>
    <row r="55" spans="1:19" ht="43.2" x14ac:dyDescent="0.3">
      <c r="A55" s="47" t="s">
        <v>48</v>
      </c>
      <c r="B55" s="9" t="s">
        <v>18</v>
      </c>
      <c r="C55" s="13" t="s">
        <v>19</v>
      </c>
      <c r="D55" s="69" t="s">
        <v>23</v>
      </c>
      <c r="E55" s="13">
        <v>0.01</v>
      </c>
      <c r="F55" s="13" t="s">
        <v>20</v>
      </c>
      <c r="G55" s="13" t="s">
        <v>20</v>
      </c>
      <c r="H55" s="13" t="s">
        <v>20</v>
      </c>
      <c r="I55" s="13" t="s">
        <v>20</v>
      </c>
      <c r="J55" s="13" t="s">
        <v>20</v>
      </c>
      <c r="K55" s="13" t="s">
        <v>20</v>
      </c>
      <c r="L55" s="13" t="s">
        <v>21</v>
      </c>
      <c r="M55" s="14" t="s">
        <v>21</v>
      </c>
      <c r="N55" s="14" t="s">
        <v>20</v>
      </c>
      <c r="O55" s="14" t="s">
        <v>20</v>
      </c>
      <c r="P55" s="14" t="s">
        <v>20</v>
      </c>
      <c r="Q55" s="14" t="s">
        <v>20</v>
      </c>
      <c r="R55" s="12"/>
      <c r="S55" s="16">
        <f t="shared" ca="1" si="1"/>
        <v>2175.02</v>
      </c>
    </row>
    <row r="56" spans="1:19" ht="43.2" x14ac:dyDescent="0.3">
      <c r="A56" s="47" t="s">
        <v>48</v>
      </c>
      <c r="B56" s="9" t="s">
        <v>22</v>
      </c>
      <c r="C56" s="13" t="s">
        <v>19</v>
      </c>
      <c r="D56" s="69">
        <v>0.23</v>
      </c>
      <c r="E56" s="65" t="s">
        <v>23</v>
      </c>
      <c r="F56" s="13" t="s">
        <v>20</v>
      </c>
      <c r="G56" s="85" t="s">
        <v>20</v>
      </c>
      <c r="H56" s="13" t="s">
        <v>20</v>
      </c>
      <c r="I56" s="13" t="s">
        <v>20</v>
      </c>
      <c r="J56" s="13" t="s">
        <v>20</v>
      </c>
      <c r="K56" s="13" t="s">
        <v>20</v>
      </c>
      <c r="L56" s="13" t="s">
        <v>20</v>
      </c>
      <c r="M56" s="14" t="s">
        <v>21</v>
      </c>
      <c r="N56" s="14" t="s">
        <v>20</v>
      </c>
      <c r="O56" s="14" t="s">
        <v>20</v>
      </c>
      <c r="P56" s="14" t="s">
        <v>20</v>
      </c>
      <c r="Q56" s="14" t="s">
        <v>20</v>
      </c>
      <c r="R56" s="12"/>
      <c r="S56" s="16">
        <f t="shared" ca="1" si="1"/>
        <v>453.493810177618</v>
      </c>
    </row>
    <row r="57" spans="1:19" ht="43.2" x14ac:dyDescent="0.3">
      <c r="A57" s="47" t="s">
        <v>48</v>
      </c>
      <c r="B57" s="9" t="s">
        <v>24</v>
      </c>
      <c r="C57" s="13" t="s">
        <v>19</v>
      </c>
      <c r="D57" s="69">
        <v>0</v>
      </c>
      <c r="E57" s="13">
        <v>0</v>
      </c>
      <c r="F57" s="13" t="s">
        <v>339</v>
      </c>
      <c r="G57" s="13" t="s">
        <v>339</v>
      </c>
      <c r="H57" s="13" t="s">
        <v>339</v>
      </c>
      <c r="I57" s="13" t="s">
        <v>339</v>
      </c>
      <c r="J57" s="13" t="s">
        <v>339</v>
      </c>
      <c r="K57" s="13" t="s">
        <v>339</v>
      </c>
      <c r="L57" s="13" t="s">
        <v>339</v>
      </c>
      <c r="M57" s="14" t="s">
        <v>339</v>
      </c>
      <c r="N57" s="14" t="s">
        <v>339</v>
      </c>
      <c r="O57" s="14" t="s">
        <v>20</v>
      </c>
      <c r="P57" s="14" t="s">
        <v>20</v>
      </c>
      <c r="Q57" s="14" t="s">
        <v>20</v>
      </c>
      <c r="R57" s="12"/>
      <c r="S57" s="16">
        <f t="shared" ca="1" si="1"/>
        <v>4046.3620000000001</v>
      </c>
    </row>
    <row r="58" spans="1:19" ht="43.2" x14ac:dyDescent="0.3">
      <c r="A58" s="47" t="s">
        <v>49</v>
      </c>
      <c r="B58" s="9" t="s">
        <v>18</v>
      </c>
      <c r="C58" s="13" t="s">
        <v>19</v>
      </c>
      <c r="D58" s="69">
        <v>7.0000000000000007E-2</v>
      </c>
      <c r="E58" s="13">
        <v>7.0000000000000007E-2</v>
      </c>
      <c r="F58" s="13" t="s">
        <v>20</v>
      </c>
      <c r="G58" s="13" t="s">
        <v>20</v>
      </c>
      <c r="H58" s="13" t="s">
        <v>20</v>
      </c>
      <c r="I58" s="13" t="s">
        <v>20</v>
      </c>
      <c r="J58" s="13" t="s">
        <v>20</v>
      </c>
      <c r="K58" s="13" t="s">
        <v>20</v>
      </c>
      <c r="L58" s="13" t="s">
        <v>21</v>
      </c>
      <c r="M58" s="14" t="s">
        <v>20</v>
      </c>
      <c r="N58" s="14" t="s">
        <v>20</v>
      </c>
      <c r="O58" s="14" t="s">
        <v>20</v>
      </c>
      <c r="P58" s="14" t="s">
        <v>20</v>
      </c>
      <c r="Q58" s="14" t="s">
        <v>20</v>
      </c>
      <c r="R58" s="12"/>
      <c r="S58" s="16">
        <f t="shared" ca="1" si="1"/>
        <v>7438.11</v>
      </c>
    </row>
    <row r="59" spans="1:19" ht="43.2" x14ac:dyDescent="0.3">
      <c r="A59" s="47" t="s">
        <v>49</v>
      </c>
      <c r="B59" s="9" t="s">
        <v>22</v>
      </c>
      <c r="C59" s="13" t="s">
        <v>27</v>
      </c>
      <c r="D59" s="69" t="s">
        <v>50</v>
      </c>
      <c r="E59" s="65" t="s">
        <v>23</v>
      </c>
      <c r="F59" s="13" t="s">
        <v>20</v>
      </c>
      <c r="G59" s="13" t="s">
        <v>20</v>
      </c>
      <c r="H59" s="13" t="s">
        <v>20</v>
      </c>
      <c r="I59" s="13" t="s">
        <v>20</v>
      </c>
      <c r="J59" s="13" t="s">
        <v>20</v>
      </c>
      <c r="K59" s="13" t="s">
        <v>20</v>
      </c>
      <c r="L59" s="13" t="s">
        <v>20</v>
      </c>
      <c r="M59" s="14" t="s">
        <v>20</v>
      </c>
      <c r="N59" s="14" t="s">
        <v>20</v>
      </c>
      <c r="O59" s="14" t="s">
        <v>20</v>
      </c>
      <c r="P59" s="14" t="s">
        <v>20</v>
      </c>
      <c r="Q59" s="14" t="s">
        <v>20</v>
      </c>
      <c r="R59" s="12"/>
      <c r="S59" s="16">
        <f t="shared" ca="1" si="1"/>
        <v>3497.5626010579163</v>
      </c>
    </row>
    <row r="60" spans="1:19" ht="43.2" x14ac:dyDescent="0.3">
      <c r="A60" s="47" t="s">
        <v>49</v>
      </c>
      <c r="B60" s="9" t="s">
        <v>24</v>
      </c>
      <c r="C60" s="13" t="s">
        <v>27</v>
      </c>
      <c r="D60" s="69" t="s">
        <v>23</v>
      </c>
      <c r="E60" s="13"/>
      <c r="F60" s="13" t="s">
        <v>339</v>
      </c>
      <c r="G60" s="13" t="s">
        <v>339</v>
      </c>
      <c r="H60" s="13" t="s">
        <v>339</v>
      </c>
      <c r="I60" s="13" t="s">
        <v>339</v>
      </c>
      <c r="J60" s="13" t="s">
        <v>339</v>
      </c>
      <c r="K60" s="13" t="s">
        <v>339</v>
      </c>
      <c r="L60" s="13" t="s">
        <v>339</v>
      </c>
      <c r="M60" s="14" t="s">
        <v>339</v>
      </c>
      <c r="N60" s="14" t="s">
        <v>339</v>
      </c>
      <c r="O60" s="14" t="s">
        <v>20</v>
      </c>
      <c r="P60" s="14" t="s">
        <v>20</v>
      </c>
      <c r="Q60" s="14" t="s">
        <v>20</v>
      </c>
      <c r="R60" s="12"/>
      <c r="S60" s="16">
        <f t="shared" ca="1" si="1"/>
        <v>6920.8843513000002</v>
      </c>
    </row>
    <row r="61" spans="1:19" ht="43.2" x14ac:dyDescent="0.3">
      <c r="A61" s="47" t="s">
        <v>51</v>
      </c>
      <c r="B61" s="9" t="s">
        <v>18</v>
      </c>
      <c r="C61" s="13" t="s">
        <v>19</v>
      </c>
      <c r="D61" s="69">
        <v>0.01</v>
      </c>
      <c r="E61" s="13">
        <v>0.01</v>
      </c>
      <c r="F61" s="13" t="s">
        <v>20</v>
      </c>
      <c r="G61" s="13" t="s">
        <v>20</v>
      </c>
      <c r="H61" s="13" t="s">
        <v>20</v>
      </c>
      <c r="I61" s="13" t="s">
        <v>20</v>
      </c>
      <c r="J61" s="13" t="s">
        <v>20</v>
      </c>
      <c r="K61" s="13" t="s">
        <v>20</v>
      </c>
      <c r="L61" s="13" t="s">
        <v>21</v>
      </c>
      <c r="M61" s="14" t="s">
        <v>20</v>
      </c>
      <c r="N61" s="14" t="s">
        <v>20</v>
      </c>
      <c r="O61" s="14" t="s">
        <v>20</v>
      </c>
      <c r="P61" s="14" t="s">
        <v>20</v>
      </c>
      <c r="Q61" s="14" t="s">
        <v>20</v>
      </c>
      <c r="R61" s="12"/>
      <c r="S61" s="16">
        <f t="shared" ca="1" si="1"/>
        <v>1502.51</v>
      </c>
    </row>
    <row r="62" spans="1:19" ht="43.2" x14ac:dyDescent="0.3">
      <c r="A62" s="47" t="s">
        <v>51</v>
      </c>
      <c r="B62" s="9" t="s">
        <v>22</v>
      </c>
      <c r="C62" s="13" t="s">
        <v>27</v>
      </c>
      <c r="D62" s="69" t="s">
        <v>52</v>
      </c>
      <c r="E62" s="65" t="s">
        <v>23</v>
      </c>
      <c r="F62" s="13" t="s">
        <v>20</v>
      </c>
      <c r="G62" s="13" t="s">
        <v>20</v>
      </c>
      <c r="H62" s="13" t="s">
        <v>20</v>
      </c>
      <c r="I62" s="13" t="s">
        <v>20</v>
      </c>
      <c r="J62" s="13" t="s">
        <v>20</v>
      </c>
      <c r="K62" s="13" t="s">
        <v>20</v>
      </c>
      <c r="L62" s="13" t="s">
        <v>20</v>
      </c>
      <c r="M62" s="14" t="s">
        <v>20</v>
      </c>
      <c r="N62" s="14" t="s">
        <v>20</v>
      </c>
      <c r="O62" s="14" t="s">
        <v>20</v>
      </c>
      <c r="P62" s="14" t="s">
        <v>20</v>
      </c>
      <c r="Q62" s="14" t="s">
        <v>20</v>
      </c>
      <c r="R62" s="12"/>
      <c r="S62" s="16">
        <f t="shared" ca="1" si="1"/>
        <v>791.67600000000004</v>
      </c>
    </row>
    <row r="63" spans="1:19" ht="43.2" x14ac:dyDescent="0.3">
      <c r="A63" s="47" t="s">
        <v>51</v>
      </c>
      <c r="B63" s="9" t="s">
        <v>24</v>
      </c>
      <c r="C63" s="13" t="s">
        <v>27</v>
      </c>
      <c r="D63" s="69" t="s">
        <v>52</v>
      </c>
      <c r="E63" s="13"/>
      <c r="F63" s="13" t="s">
        <v>339</v>
      </c>
      <c r="G63" s="13" t="s">
        <v>339</v>
      </c>
      <c r="H63" s="13" t="s">
        <v>339</v>
      </c>
      <c r="I63" s="13" t="s">
        <v>339</v>
      </c>
      <c r="J63" s="13" t="s">
        <v>339</v>
      </c>
      <c r="K63" s="13" t="s">
        <v>339</v>
      </c>
      <c r="L63" s="13" t="s">
        <v>339</v>
      </c>
      <c r="M63" s="14" t="s">
        <v>339</v>
      </c>
      <c r="N63" s="14" t="s">
        <v>339</v>
      </c>
      <c r="O63" s="14" t="s">
        <v>20</v>
      </c>
      <c r="P63" s="14" t="s">
        <v>20</v>
      </c>
      <c r="Q63" s="14" t="s">
        <v>20</v>
      </c>
      <c r="R63" s="12"/>
      <c r="S63" s="16">
        <f t="shared" ref="S63:S84" ca="1" si="2">VLOOKUP(A63,INDIRECT("Area_"&amp;B63&amp;"!$A$5:$D$51",TRUE),2,FALSE)</f>
        <v>1993.557</v>
      </c>
    </row>
    <row r="64" spans="1:19" ht="43.2" x14ac:dyDescent="0.3">
      <c r="A64" s="47" t="s">
        <v>53</v>
      </c>
      <c r="B64" s="9" t="s">
        <v>18</v>
      </c>
      <c r="C64" s="13" t="s">
        <v>19</v>
      </c>
      <c r="D64" s="69">
        <v>0.01</v>
      </c>
      <c r="E64" s="13">
        <v>0.01</v>
      </c>
      <c r="F64" s="13" t="s">
        <v>20</v>
      </c>
      <c r="G64" s="13" t="s">
        <v>20</v>
      </c>
      <c r="H64" s="13" t="s">
        <v>20</v>
      </c>
      <c r="I64" s="13" t="s">
        <v>20</v>
      </c>
      <c r="J64" s="13" t="s">
        <v>20</v>
      </c>
      <c r="K64" s="13" t="s">
        <v>20</v>
      </c>
      <c r="L64" s="13" t="s">
        <v>21</v>
      </c>
      <c r="M64" s="14" t="s">
        <v>20</v>
      </c>
      <c r="N64" s="14" t="s">
        <v>20</v>
      </c>
      <c r="O64" s="14" t="s">
        <v>20</v>
      </c>
      <c r="P64" s="14" t="s">
        <v>20</v>
      </c>
      <c r="Q64" s="14" t="s">
        <v>20</v>
      </c>
      <c r="R64" s="12"/>
      <c r="S64" s="16">
        <f t="shared" ca="1" si="2"/>
        <v>219.5</v>
      </c>
    </row>
    <row r="65" spans="1:19" ht="43.2" x14ac:dyDescent="0.3">
      <c r="A65" s="47" t="s">
        <v>53</v>
      </c>
      <c r="B65" s="9" t="s">
        <v>22</v>
      </c>
      <c r="C65" s="13" t="s">
        <v>19</v>
      </c>
      <c r="D65" s="69">
        <v>-0.01</v>
      </c>
      <c r="E65" s="65" t="s">
        <v>23</v>
      </c>
      <c r="F65" s="13" t="s">
        <v>20</v>
      </c>
      <c r="G65" s="13" t="s">
        <v>20</v>
      </c>
      <c r="H65" s="13" t="s">
        <v>20</v>
      </c>
      <c r="I65" s="13" t="s">
        <v>20</v>
      </c>
      <c r="J65" s="13" t="s">
        <v>20</v>
      </c>
      <c r="K65" s="13" t="s">
        <v>20</v>
      </c>
      <c r="L65" s="13" t="s">
        <v>21</v>
      </c>
      <c r="M65" s="14" t="s">
        <v>20</v>
      </c>
      <c r="N65" s="14" t="s">
        <v>20</v>
      </c>
      <c r="O65" s="14" t="s">
        <v>20</v>
      </c>
      <c r="P65" s="14" t="s">
        <v>20</v>
      </c>
      <c r="Q65" s="14" t="s">
        <v>20</v>
      </c>
      <c r="R65" s="12"/>
      <c r="S65" s="16">
        <f t="shared" ca="1" si="2"/>
        <v>342.39590178571433</v>
      </c>
    </row>
    <row r="66" spans="1:19" ht="43.2" x14ac:dyDescent="0.3">
      <c r="A66" s="47" t="s">
        <v>53</v>
      </c>
      <c r="B66" s="9" t="s">
        <v>24</v>
      </c>
      <c r="C66" s="13" t="s">
        <v>27</v>
      </c>
      <c r="D66" s="69" t="s">
        <v>23</v>
      </c>
      <c r="E66" s="13"/>
      <c r="F66" s="13" t="s">
        <v>339</v>
      </c>
      <c r="G66" s="13" t="s">
        <v>339</v>
      </c>
      <c r="H66" s="13" t="s">
        <v>339</v>
      </c>
      <c r="I66" s="13" t="s">
        <v>339</v>
      </c>
      <c r="J66" s="13" t="s">
        <v>339</v>
      </c>
      <c r="K66" s="13" t="s">
        <v>339</v>
      </c>
      <c r="L66" s="13" t="s">
        <v>339</v>
      </c>
      <c r="M66" s="14" t="s">
        <v>339</v>
      </c>
      <c r="N66" s="14" t="s">
        <v>339</v>
      </c>
      <c r="O66" s="14" t="s">
        <v>20</v>
      </c>
      <c r="P66" s="14" t="s">
        <v>20</v>
      </c>
      <c r="Q66" s="14" t="s">
        <v>20</v>
      </c>
      <c r="R66" s="12"/>
      <c r="S66" s="16">
        <f t="shared" ca="1" si="2"/>
        <v>1131.4526572321429</v>
      </c>
    </row>
    <row r="67" spans="1:19" ht="43.2" x14ac:dyDescent="0.3">
      <c r="A67" s="47" t="s">
        <v>55</v>
      </c>
      <c r="B67" s="9" t="s">
        <v>18</v>
      </c>
      <c r="C67" s="13" t="s">
        <v>19</v>
      </c>
      <c r="D67" s="69">
        <v>0.03</v>
      </c>
      <c r="E67" s="13">
        <v>0.03</v>
      </c>
      <c r="F67" s="13" t="s">
        <v>20</v>
      </c>
      <c r="G67" s="13" t="s">
        <v>20</v>
      </c>
      <c r="H67" s="13" t="s">
        <v>21</v>
      </c>
      <c r="I67" s="13" t="s">
        <v>20</v>
      </c>
      <c r="J67" s="13" t="s">
        <v>20</v>
      </c>
      <c r="K67" s="13" t="s">
        <v>20</v>
      </c>
      <c r="L67" s="13" t="s">
        <v>21</v>
      </c>
      <c r="M67" s="14" t="s">
        <v>21</v>
      </c>
      <c r="N67" s="14" t="s">
        <v>20</v>
      </c>
      <c r="O67" s="14" t="s">
        <v>20</v>
      </c>
      <c r="P67" s="14" t="s">
        <v>20</v>
      </c>
      <c r="Q67" s="14" t="s">
        <v>20</v>
      </c>
      <c r="R67" s="12"/>
      <c r="S67" s="16">
        <f t="shared" ca="1" si="2"/>
        <v>19786.13</v>
      </c>
    </row>
    <row r="68" spans="1:19" ht="43.2" x14ac:dyDescent="0.3">
      <c r="A68" s="47" t="s">
        <v>55</v>
      </c>
      <c r="B68" s="9" t="s">
        <v>22</v>
      </c>
      <c r="C68" s="13" t="s">
        <v>27</v>
      </c>
      <c r="D68" s="69" t="s">
        <v>50</v>
      </c>
      <c r="E68" s="65" t="s">
        <v>23</v>
      </c>
      <c r="F68" s="13" t="s">
        <v>20</v>
      </c>
      <c r="G68" s="13" t="s">
        <v>20</v>
      </c>
      <c r="H68" s="13" t="s">
        <v>20</v>
      </c>
      <c r="I68" s="13" t="s">
        <v>20</v>
      </c>
      <c r="J68" s="13" t="s">
        <v>20</v>
      </c>
      <c r="K68" s="13" t="s">
        <v>20</v>
      </c>
      <c r="L68" s="13" t="s">
        <v>20</v>
      </c>
      <c r="M68" s="14" t="s">
        <v>20</v>
      </c>
      <c r="N68" s="14" t="s">
        <v>20</v>
      </c>
      <c r="O68" s="14" t="s">
        <v>20</v>
      </c>
      <c r="P68" s="14" t="s">
        <v>20</v>
      </c>
      <c r="Q68" s="14" t="s">
        <v>20</v>
      </c>
      <c r="R68" s="12"/>
      <c r="S68" s="16">
        <f t="shared" ca="1" si="2"/>
        <v>11778.939458271116</v>
      </c>
    </row>
    <row r="69" spans="1:19" ht="43.2" x14ac:dyDescent="0.3">
      <c r="A69" s="47" t="s">
        <v>55</v>
      </c>
      <c r="B69" s="9" t="s">
        <v>24</v>
      </c>
      <c r="C69" s="13" t="s">
        <v>27</v>
      </c>
      <c r="D69" s="69" t="s">
        <v>52</v>
      </c>
      <c r="E69" s="13"/>
      <c r="F69" s="13" t="s">
        <v>339</v>
      </c>
      <c r="G69" s="13" t="s">
        <v>339</v>
      </c>
      <c r="H69" s="13" t="s">
        <v>339</v>
      </c>
      <c r="I69" s="13" t="s">
        <v>339</v>
      </c>
      <c r="J69" s="13" t="s">
        <v>339</v>
      </c>
      <c r="K69" s="13" t="s">
        <v>339</v>
      </c>
      <c r="L69" s="13" t="s">
        <v>339</v>
      </c>
      <c r="M69" s="14" t="s">
        <v>339</v>
      </c>
      <c r="N69" s="14" t="s">
        <v>339</v>
      </c>
      <c r="O69" s="14" t="s">
        <v>20</v>
      </c>
      <c r="P69" s="14" t="s">
        <v>20</v>
      </c>
      <c r="Q69" s="14" t="s">
        <v>20</v>
      </c>
      <c r="R69" s="12"/>
      <c r="S69" s="16">
        <f t="shared" ca="1" si="2"/>
        <v>15096.942926135271</v>
      </c>
    </row>
    <row r="70" spans="1:19" ht="43.2" x14ac:dyDescent="0.3">
      <c r="A70" s="47" t="s">
        <v>56</v>
      </c>
      <c r="B70" s="9" t="s">
        <v>18</v>
      </c>
      <c r="C70" s="13" t="s">
        <v>33</v>
      </c>
      <c r="D70" s="70" t="s">
        <v>57</v>
      </c>
      <c r="E70" s="13">
        <v>-0.09</v>
      </c>
      <c r="F70" s="13" t="s">
        <v>20</v>
      </c>
      <c r="G70" s="13" t="s">
        <v>20</v>
      </c>
      <c r="H70" s="13" t="s">
        <v>20</v>
      </c>
      <c r="I70" s="13" t="s">
        <v>20</v>
      </c>
      <c r="J70" s="13" t="s">
        <v>20</v>
      </c>
      <c r="K70" s="13" t="s">
        <v>21</v>
      </c>
      <c r="L70" s="13" t="s">
        <v>20</v>
      </c>
      <c r="M70" s="14" t="s">
        <v>20</v>
      </c>
      <c r="N70" s="14" t="s">
        <v>20</v>
      </c>
      <c r="O70" s="14" t="s">
        <v>21</v>
      </c>
      <c r="P70" s="14" t="s">
        <v>21</v>
      </c>
      <c r="Q70" s="14" t="s">
        <v>21</v>
      </c>
      <c r="R70" s="12"/>
      <c r="S70" s="16">
        <f t="shared" ca="1" si="2"/>
        <v>2600.17</v>
      </c>
    </row>
    <row r="71" spans="1:19" ht="43.2" x14ac:dyDescent="0.3">
      <c r="A71" s="47" t="s">
        <v>56</v>
      </c>
      <c r="B71" s="9" t="s">
        <v>22</v>
      </c>
      <c r="C71" s="13" t="s">
        <v>32</v>
      </c>
      <c r="D71" s="70" t="s">
        <v>58</v>
      </c>
      <c r="E71" s="65" t="s">
        <v>23</v>
      </c>
      <c r="F71" s="13" t="s">
        <v>21</v>
      </c>
      <c r="G71" s="13" t="s">
        <v>21</v>
      </c>
      <c r="H71" s="13" t="s">
        <v>21</v>
      </c>
      <c r="I71" s="13" t="s">
        <v>21</v>
      </c>
      <c r="J71" s="13" t="s">
        <v>21</v>
      </c>
      <c r="K71" s="13" t="s">
        <v>21</v>
      </c>
      <c r="L71" s="13" t="s">
        <v>21</v>
      </c>
      <c r="M71" s="14" t="s">
        <v>21</v>
      </c>
      <c r="N71" s="14" t="s">
        <v>21</v>
      </c>
      <c r="O71" s="14" t="s">
        <v>21</v>
      </c>
      <c r="P71" s="14" t="s">
        <v>21</v>
      </c>
      <c r="Q71" s="14" t="s">
        <v>21</v>
      </c>
      <c r="R71" s="12"/>
      <c r="S71" s="16">
        <f t="shared" ca="1" si="2"/>
        <v>333.16930200000002</v>
      </c>
    </row>
    <row r="72" spans="1:19" ht="43.2" x14ac:dyDescent="0.3">
      <c r="A72" s="47" t="s">
        <v>56</v>
      </c>
      <c r="B72" s="9" t="s">
        <v>24</v>
      </c>
      <c r="C72" s="13" t="s">
        <v>32</v>
      </c>
      <c r="D72" s="69" t="s">
        <v>59</v>
      </c>
      <c r="E72" s="13">
        <v>0.19</v>
      </c>
      <c r="F72" s="13" t="s">
        <v>339</v>
      </c>
      <c r="G72" s="13" t="s">
        <v>339</v>
      </c>
      <c r="H72" s="13" t="s">
        <v>339</v>
      </c>
      <c r="I72" s="13" t="s">
        <v>339</v>
      </c>
      <c r="J72" s="13" t="s">
        <v>339</v>
      </c>
      <c r="K72" s="13" t="s">
        <v>339</v>
      </c>
      <c r="L72" s="13" t="s">
        <v>339</v>
      </c>
      <c r="M72" s="14" t="s">
        <v>339</v>
      </c>
      <c r="N72" s="14" t="s">
        <v>339</v>
      </c>
      <c r="O72" s="14" t="s">
        <v>21</v>
      </c>
      <c r="P72" s="14" t="s">
        <v>21</v>
      </c>
      <c r="Q72" s="14" t="s">
        <v>21</v>
      </c>
      <c r="R72" s="12"/>
      <c r="S72" s="16">
        <f t="shared" ca="1" si="2"/>
        <v>23822.369953000001</v>
      </c>
    </row>
    <row r="73" spans="1:19" ht="43.2" x14ac:dyDescent="0.3">
      <c r="A73" s="12" t="s">
        <v>60</v>
      </c>
      <c r="B73" s="9" t="s">
        <v>18</v>
      </c>
      <c r="C73" s="13" t="s">
        <v>27</v>
      </c>
      <c r="D73" s="11"/>
      <c r="E73" s="11"/>
      <c r="F73" s="13" t="s">
        <v>20</v>
      </c>
      <c r="G73" s="13" t="s">
        <v>20</v>
      </c>
      <c r="H73" s="13" t="s">
        <v>20</v>
      </c>
      <c r="I73" s="13" t="s">
        <v>20</v>
      </c>
      <c r="J73" s="13" t="s">
        <v>20</v>
      </c>
      <c r="K73" s="13" t="s">
        <v>20</v>
      </c>
      <c r="L73" s="13" t="s">
        <v>20</v>
      </c>
      <c r="M73" s="14" t="s">
        <v>20</v>
      </c>
      <c r="N73" s="14" t="s">
        <v>20</v>
      </c>
      <c r="O73" s="14" t="s">
        <v>20</v>
      </c>
      <c r="P73" s="14" t="s">
        <v>20</v>
      </c>
      <c r="Q73" s="14" t="s">
        <v>20</v>
      </c>
      <c r="R73" s="14"/>
      <c r="S73" s="16">
        <f t="shared" ca="1" si="2"/>
        <v>240.98</v>
      </c>
    </row>
    <row r="74" spans="1:19" ht="43.2" x14ac:dyDescent="0.3">
      <c r="A74" s="12" t="s">
        <v>60</v>
      </c>
      <c r="B74" s="9" t="s">
        <v>22</v>
      </c>
      <c r="C74" s="13" t="s">
        <v>27</v>
      </c>
      <c r="D74" s="11"/>
      <c r="E74" s="11"/>
      <c r="F74" s="13" t="s">
        <v>20</v>
      </c>
      <c r="G74" s="13" t="s">
        <v>20</v>
      </c>
      <c r="H74" s="13" t="s">
        <v>20</v>
      </c>
      <c r="I74" s="13" t="s">
        <v>20</v>
      </c>
      <c r="J74" s="13" t="s">
        <v>20</v>
      </c>
      <c r="K74" s="13" t="s">
        <v>20</v>
      </c>
      <c r="L74" s="13" t="s">
        <v>20</v>
      </c>
      <c r="M74" s="14" t="s">
        <v>20</v>
      </c>
      <c r="N74" s="14" t="s">
        <v>20</v>
      </c>
      <c r="O74" s="14" t="s">
        <v>20</v>
      </c>
      <c r="P74" s="14" t="s">
        <v>20</v>
      </c>
      <c r="Q74" s="14" t="s">
        <v>20</v>
      </c>
      <c r="R74" s="14"/>
      <c r="S74" s="16">
        <f t="shared" ca="1" si="2"/>
        <v>130.338714845407</v>
      </c>
    </row>
    <row r="75" spans="1:19" ht="43.2" x14ac:dyDescent="0.3">
      <c r="A75" s="12" t="s">
        <v>60</v>
      </c>
      <c r="B75" s="9" t="s">
        <v>24</v>
      </c>
      <c r="C75" s="13" t="s">
        <v>27</v>
      </c>
      <c r="D75" s="11"/>
      <c r="E75" s="11"/>
      <c r="F75" s="13" t="s">
        <v>339</v>
      </c>
      <c r="G75" s="13" t="s">
        <v>339</v>
      </c>
      <c r="H75" s="13" t="s">
        <v>339</v>
      </c>
      <c r="I75" s="13" t="s">
        <v>339</v>
      </c>
      <c r="J75" s="13" t="s">
        <v>339</v>
      </c>
      <c r="K75" s="13" t="s">
        <v>339</v>
      </c>
      <c r="L75" s="13" t="s">
        <v>339</v>
      </c>
      <c r="M75" s="14" t="s">
        <v>339</v>
      </c>
      <c r="N75" s="14" t="s">
        <v>339</v>
      </c>
      <c r="O75" s="14" t="s">
        <v>20</v>
      </c>
      <c r="P75" s="14" t="s">
        <v>20</v>
      </c>
      <c r="Q75" s="14" t="s">
        <v>20</v>
      </c>
      <c r="R75" s="14"/>
      <c r="S75" s="16">
        <f t="shared" ca="1" si="2"/>
        <v>158.90728488061598</v>
      </c>
    </row>
    <row r="76" spans="1:19" ht="43.2" x14ac:dyDescent="0.3">
      <c r="A76" s="12" t="s">
        <v>61</v>
      </c>
      <c r="B76" s="9" t="s">
        <v>18</v>
      </c>
      <c r="C76" s="11" t="s">
        <v>33</v>
      </c>
      <c r="D76" s="71">
        <v>-8.1809917974260002E-2</v>
      </c>
      <c r="E76" s="11">
        <v>-0.08</v>
      </c>
      <c r="F76" s="13" t="s">
        <v>20</v>
      </c>
      <c r="G76" s="13" t="s">
        <v>21</v>
      </c>
      <c r="H76" s="13" t="s">
        <v>20</v>
      </c>
      <c r="I76" s="13" t="s">
        <v>20</v>
      </c>
      <c r="J76" s="13" t="s">
        <v>20</v>
      </c>
      <c r="K76" s="13" t="s">
        <v>21</v>
      </c>
      <c r="L76" s="13" t="s">
        <v>20</v>
      </c>
      <c r="M76" s="14" t="s">
        <v>20</v>
      </c>
      <c r="N76" s="14" t="s">
        <v>21</v>
      </c>
      <c r="O76" s="14" t="s">
        <v>21</v>
      </c>
      <c r="P76" s="14" t="s">
        <v>21</v>
      </c>
      <c r="Q76" s="14" t="s">
        <v>21</v>
      </c>
      <c r="R76" s="14"/>
      <c r="S76" s="16">
        <f t="shared" ca="1" si="2"/>
        <v>2652.43</v>
      </c>
    </row>
    <row r="77" spans="1:19" ht="43.2" x14ac:dyDescent="0.3">
      <c r="A77" s="12" t="s">
        <v>61</v>
      </c>
      <c r="B77" s="9" t="s">
        <v>22</v>
      </c>
      <c r="C77" s="11" t="s">
        <v>33</v>
      </c>
      <c r="D77" s="11" t="s">
        <v>28</v>
      </c>
      <c r="E77" s="11"/>
      <c r="F77" s="13" t="s">
        <v>20</v>
      </c>
      <c r="G77" s="13" t="s">
        <v>21</v>
      </c>
      <c r="H77" s="13" t="s">
        <v>20</v>
      </c>
      <c r="I77" s="13" t="s">
        <v>20</v>
      </c>
      <c r="J77" s="13" t="s">
        <v>20</v>
      </c>
      <c r="K77" s="13" t="s">
        <v>21</v>
      </c>
      <c r="L77" s="13" t="s">
        <v>20</v>
      </c>
      <c r="M77" s="14" t="s">
        <v>20</v>
      </c>
      <c r="N77" s="14" t="s">
        <v>21</v>
      </c>
      <c r="O77" s="14" t="s">
        <v>21</v>
      </c>
      <c r="P77" s="14" t="s">
        <v>21</v>
      </c>
      <c r="Q77" s="14" t="s">
        <v>21</v>
      </c>
      <c r="R77" s="14"/>
      <c r="S77" s="16">
        <f t="shared" ca="1" si="2"/>
        <v>281.33707117699998</v>
      </c>
    </row>
    <row r="78" spans="1:19" ht="43.2" x14ac:dyDescent="0.3">
      <c r="A78" s="12" t="s">
        <v>61</v>
      </c>
      <c r="B78" s="9" t="s">
        <v>24</v>
      </c>
      <c r="C78" s="11" t="s">
        <v>27</v>
      </c>
      <c r="D78" s="11" t="s">
        <v>52</v>
      </c>
      <c r="E78" s="11"/>
      <c r="F78" s="13" t="s">
        <v>339</v>
      </c>
      <c r="G78" s="13" t="s">
        <v>339</v>
      </c>
      <c r="H78" s="13" t="s">
        <v>339</v>
      </c>
      <c r="I78" s="13" t="s">
        <v>339</v>
      </c>
      <c r="J78" s="13" t="s">
        <v>339</v>
      </c>
      <c r="K78" s="13" t="s">
        <v>339</v>
      </c>
      <c r="L78" s="13" t="s">
        <v>339</v>
      </c>
      <c r="M78" s="14" t="s">
        <v>339</v>
      </c>
      <c r="N78" s="14" t="s">
        <v>339</v>
      </c>
      <c r="O78" s="14" t="s">
        <v>20</v>
      </c>
      <c r="P78" s="14" t="s">
        <v>20</v>
      </c>
      <c r="Q78" s="14" t="s">
        <v>20</v>
      </c>
      <c r="R78" s="14"/>
      <c r="S78" s="16">
        <f t="shared" ca="1" si="2"/>
        <v>536.92234862999999</v>
      </c>
    </row>
    <row r="79" spans="1:19" ht="43.2" x14ac:dyDescent="0.3">
      <c r="A79" s="12" t="s">
        <v>62</v>
      </c>
      <c r="B79" s="9" t="s">
        <v>18</v>
      </c>
      <c r="C79" s="11" t="s">
        <v>19</v>
      </c>
      <c r="D79" s="11">
        <v>0</v>
      </c>
      <c r="E79" s="11">
        <v>0</v>
      </c>
      <c r="F79" s="13" t="s">
        <v>20</v>
      </c>
      <c r="G79" s="13" t="s">
        <v>20</v>
      </c>
      <c r="H79" s="13" t="s">
        <v>20</v>
      </c>
      <c r="I79" s="13" t="s">
        <v>20</v>
      </c>
      <c r="J79" s="13" t="s">
        <v>20</v>
      </c>
      <c r="K79" s="13" t="s">
        <v>20</v>
      </c>
      <c r="L79" s="13" t="s">
        <v>21</v>
      </c>
      <c r="M79" s="14" t="s">
        <v>20</v>
      </c>
      <c r="N79" s="14" t="s">
        <v>20</v>
      </c>
      <c r="O79" s="14" t="s">
        <v>20</v>
      </c>
      <c r="P79" s="14" t="s">
        <v>20</v>
      </c>
      <c r="Q79" s="14" t="s">
        <v>20</v>
      </c>
      <c r="R79" s="14"/>
      <c r="S79" s="16">
        <f t="shared" ca="1" si="2"/>
        <v>3166.99</v>
      </c>
    </row>
    <row r="80" spans="1:19" ht="43.2" x14ac:dyDescent="0.3">
      <c r="A80" s="12" t="s">
        <v>62</v>
      </c>
      <c r="B80" s="9" t="s">
        <v>22</v>
      </c>
      <c r="C80" s="11" t="s">
        <v>19</v>
      </c>
      <c r="D80" s="11" t="s">
        <v>28</v>
      </c>
      <c r="E80" s="11"/>
      <c r="F80" s="13" t="s">
        <v>20</v>
      </c>
      <c r="G80" s="13" t="s">
        <v>20</v>
      </c>
      <c r="H80" s="13" t="s">
        <v>20</v>
      </c>
      <c r="I80" s="13" t="s">
        <v>20</v>
      </c>
      <c r="J80" s="13" t="s">
        <v>20</v>
      </c>
      <c r="K80" s="13" t="s">
        <v>20</v>
      </c>
      <c r="L80" s="13" t="s">
        <v>20</v>
      </c>
      <c r="M80" s="14" t="s">
        <v>20</v>
      </c>
      <c r="N80" s="14" t="s">
        <v>20</v>
      </c>
      <c r="O80" s="14" t="s">
        <v>20</v>
      </c>
      <c r="P80" s="14" t="s">
        <v>20</v>
      </c>
      <c r="Q80" s="14" t="s">
        <v>20</v>
      </c>
      <c r="R80" s="14"/>
      <c r="S80" s="16">
        <f t="shared" ca="1" si="2"/>
        <v>903.69953999999984</v>
      </c>
    </row>
    <row r="81" spans="1:19" ht="43.2" x14ac:dyDescent="0.3">
      <c r="A81" s="12" t="s">
        <v>62</v>
      </c>
      <c r="B81" s="9" t="s">
        <v>24</v>
      </c>
      <c r="C81" s="11" t="s">
        <v>27</v>
      </c>
      <c r="D81" s="11" t="s">
        <v>28</v>
      </c>
      <c r="E81" s="11"/>
      <c r="F81" s="13" t="s">
        <v>339</v>
      </c>
      <c r="G81" s="13" t="s">
        <v>339</v>
      </c>
      <c r="H81" s="13" t="s">
        <v>339</v>
      </c>
      <c r="I81" s="13" t="s">
        <v>339</v>
      </c>
      <c r="J81" s="13" t="s">
        <v>339</v>
      </c>
      <c r="K81" s="13" t="s">
        <v>339</v>
      </c>
      <c r="L81" s="13" t="s">
        <v>339</v>
      </c>
      <c r="M81" s="14" t="s">
        <v>339</v>
      </c>
      <c r="N81" s="14" t="s">
        <v>339</v>
      </c>
      <c r="O81" s="14" t="s">
        <v>20</v>
      </c>
      <c r="P81" s="14" t="s">
        <v>20</v>
      </c>
      <c r="Q81" s="14" t="s">
        <v>20</v>
      </c>
      <c r="R81" s="14"/>
      <c r="S81" s="16">
        <f t="shared" ca="1" si="2"/>
        <v>2602.6188999999999</v>
      </c>
    </row>
    <row r="82" spans="1:19" ht="43.2" x14ac:dyDescent="0.3">
      <c r="A82" s="11" t="s">
        <v>63</v>
      </c>
      <c r="B82" s="9" t="s">
        <v>18</v>
      </c>
      <c r="C82" s="11" t="s">
        <v>19</v>
      </c>
      <c r="D82" s="11">
        <v>0.11</v>
      </c>
      <c r="E82" s="11">
        <v>0.11</v>
      </c>
      <c r="F82" s="13" t="s">
        <v>20</v>
      </c>
      <c r="G82" s="13" t="s">
        <v>20</v>
      </c>
      <c r="H82" s="13" t="s">
        <v>20</v>
      </c>
      <c r="I82" s="13" t="s">
        <v>20</v>
      </c>
      <c r="J82" s="13" t="s">
        <v>20</v>
      </c>
      <c r="K82" s="13" t="s">
        <v>20</v>
      </c>
      <c r="L82" s="13" t="s">
        <v>21</v>
      </c>
      <c r="M82" s="14" t="s">
        <v>21</v>
      </c>
      <c r="N82" s="14" t="s">
        <v>20</v>
      </c>
      <c r="O82" s="14" t="s">
        <v>20</v>
      </c>
      <c r="P82" s="14" t="s">
        <v>20</v>
      </c>
      <c r="Q82" s="14" t="s">
        <v>20</v>
      </c>
      <c r="R82" s="14"/>
      <c r="S82" s="16">
        <f t="shared" ca="1" si="2"/>
        <v>959.7</v>
      </c>
    </row>
    <row r="83" spans="1:19" ht="43.2" x14ac:dyDescent="0.3">
      <c r="A83" s="11" t="s">
        <v>63</v>
      </c>
      <c r="B83" s="9" t="s">
        <v>22</v>
      </c>
      <c r="C83" s="11" t="s">
        <v>27</v>
      </c>
      <c r="D83" s="11" t="s">
        <v>28</v>
      </c>
      <c r="E83" s="11"/>
      <c r="F83" s="13" t="s">
        <v>20</v>
      </c>
      <c r="G83" s="13" t="s">
        <v>20</v>
      </c>
      <c r="H83" s="13" t="s">
        <v>20</v>
      </c>
      <c r="I83" s="13" t="s">
        <v>20</v>
      </c>
      <c r="J83" s="13" t="s">
        <v>20</v>
      </c>
      <c r="K83" s="13" t="s">
        <v>20</v>
      </c>
      <c r="L83" s="13" t="s">
        <v>20</v>
      </c>
      <c r="M83" s="14" t="s">
        <v>20</v>
      </c>
      <c r="N83" s="14" t="s">
        <v>20</v>
      </c>
      <c r="O83" s="14" t="s">
        <v>20</v>
      </c>
      <c r="P83" s="14" t="s">
        <v>20</v>
      </c>
      <c r="Q83" s="14" t="s">
        <v>20</v>
      </c>
      <c r="R83" s="14"/>
      <c r="S83" s="16">
        <f t="shared" ca="1" si="2"/>
        <v>189.815</v>
      </c>
    </row>
    <row r="84" spans="1:19" ht="43.2" x14ac:dyDescent="0.3">
      <c r="A84" s="11" t="s">
        <v>63</v>
      </c>
      <c r="B84" s="9" t="s">
        <v>24</v>
      </c>
      <c r="C84" s="11" t="s">
        <v>19</v>
      </c>
      <c r="D84" s="11">
        <v>0.17</v>
      </c>
      <c r="E84" s="11"/>
      <c r="F84" s="13" t="s">
        <v>339</v>
      </c>
      <c r="G84" s="13" t="s">
        <v>339</v>
      </c>
      <c r="H84" s="13" t="s">
        <v>339</v>
      </c>
      <c r="I84" s="13" t="s">
        <v>339</v>
      </c>
      <c r="J84" s="13" t="s">
        <v>339</v>
      </c>
      <c r="K84" s="13" t="s">
        <v>339</v>
      </c>
      <c r="L84" s="13" t="s">
        <v>339</v>
      </c>
      <c r="M84" s="14" t="s">
        <v>339</v>
      </c>
      <c r="N84" s="14" t="s">
        <v>339</v>
      </c>
      <c r="O84" s="14" t="s">
        <v>20</v>
      </c>
      <c r="P84" s="14" t="s">
        <v>20</v>
      </c>
      <c r="Q84" s="14" t="s">
        <v>20</v>
      </c>
      <c r="R84" s="14"/>
      <c r="S84" s="16">
        <f t="shared" ca="1" si="2"/>
        <v>1822.203</v>
      </c>
    </row>
    <row r="85" spans="1:19" ht="43.2" x14ac:dyDescent="0.3">
      <c r="A85" s="11" t="s">
        <v>64</v>
      </c>
      <c r="B85" s="9" t="s">
        <v>18</v>
      </c>
      <c r="C85" s="11" t="s">
        <v>19</v>
      </c>
      <c r="D85" s="87">
        <v>5.2325090783629999E-2</v>
      </c>
      <c r="E85" s="11"/>
      <c r="F85" s="13" t="s">
        <v>20</v>
      </c>
      <c r="G85" s="13" t="s">
        <v>20</v>
      </c>
      <c r="H85" s="13" t="s">
        <v>20</v>
      </c>
      <c r="I85" s="13" t="s">
        <v>20</v>
      </c>
      <c r="J85" s="13" t="s">
        <v>20</v>
      </c>
      <c r="K85" s="13" t="s">
        <v>20</v>
      </c>
      <c r="L85" s="13" t="s">
        <v>21</v>
      </c>
      <c r="M85" s="14" t="s">
        <v>21</v>
      </c>
      <c r="N85" s="14" t="s">
        <v>20</v>
      </c>
      <c r="O85" s="14" t="s">
        <v>20</v>
      </c>
      <c r="P85" s="14" t="s">
        <v>20</v>
      </c>
      <c r="Q85" s="14" t="s">
        <v>20</v>
      </c>
      <c r="R85" s="14"/>
    </row>
    <row r="86" spans="1:19" ht="43.2" x14ac:dyDescent="0.3">
      <c r="A86" s="11" t="s">
        <v>64</v>
      </c>
      <c r="B86" s="9" t="s">
        <v>22</v>
      </c>
      <c r="C86" s="11" t="s">
        <v>19</v>
      </c>
      <c r="D86" s="87">
        <v>-1.476046369936E-2</v>
      </c>
      <c r="E86" s="11"/>
      <c r="F86" s="13" t="s">
        <v>20</v>
      </c>
      <c r="G86" s="13" t="s">
        <v>20</v>
      </c>
      <c r="H86" s="13" t="s">
        <v>20</v>
      </c>
      <c r="I86" s="13" t="s">
        <v>20</v>
      </c>
      <c r="J86" s="13" t="s">
        <v>20</v>
      </c>
      <c r="K86" s="13" t="s">
        <v>20</v>
      </c>
      <c r="L86" s="13" t="s">
        <v>21</v>
      </c>
      <c r="M86" s="14" t="s">
        <v>20</v>
      </c>
      <c r="N86" s="14" t="s">
        <v>20</v>
      </c>
      <c r="O86" s="14" t="s">
        <v>20</v>
      </c>
      <c r="P86" s="14" t="s">
        <v>20</v>
      </c>
      <c r="Q86" s="14" t="s">
        <v>20</v>
      </c>
      <c r="R86" s="14"/>
    </row>
    <row r="87" spans="1:19" ht="43.2" x14ac:dyDescent="0.3">
      <c r="A87" s="11" t="s">
        <v>64</v>
      </c>
      <c r="B87" s="9" t="s">
        <v>24</v>
      </c>
      <c r="C87" s="11" t="s">
        <v>27</v>
      </c>
      <c r="D87" s="59" t="s">
        <v>54</v>
      </c>
      <c r="E87" s="11"/>
      <c r="F87" s="13" t="s">
        <v>339</v>
      </c>
      <c r="G87" s="13" t="s">
        <v>339</v>
      </c>
      <c r="H87" s="13" t="s">
        <v>339</v>
      </c>
      <c r="I87" s="13" t="s">
        <v>339</v>
      </c>
      <c r="J87" s="13" t="s">
        <v>339</v>
      </c>
      <c r="K87" s="13" t="s">
        <v>339</v>
      </c>
      <c r="L87" s="13" t="s">
        <v>339</v>
      </c>
      <c r="M87" s="14" t="s">
        <v>339</v>
      </c>
      <c r="N87" s="14" t="s">
        <v>339</v>
      </c>
      <c r="O87" s="14" t="s">
        <v>20</v>
      </c>
      <c r="P87" s="14" t="s">
        <v>20</v>
      </c>
      <c r="Q87" s="14" t="s">
        <v>20</v>
      </c>
      <c r="R87" s="14"/>
    </row>
  </sheetData>
  <autoFilter ref="A6:Q87"/>
  <mergeCells count="2">
    <mergeCell ref="F5:N5"/>
    <mergeCell ref="O5:Q5"/>
  </mergeCells>
  <phoneticPr fontId="73"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'C:\Users\vbellassen\Downloads\[soil_carbon_in_inventories.xlsx]Categories'!#REF!</xm:f>
          </x14:formula1>
          <xm:sqref>F88:Q1048576</xm:sqref>
        </x14:dataValidation>
        <x14:dataValidation type="list" allowBlank="1" showInputMessage="1" showErrorMessage="1">
          <x14:formula1>
            <xm:f>Categories!$B$2:$B$5</xm:f>
          </x14:formula1>
          <xm:sqref>F7:Q87</xm:sqref>
        </x14:dataValidation>
        <x14:dataValidation type="list" allowBlank="1" showInputMessage="1" showErrorMessage="1">
          <x14:formula1>
            <xm:f>Categories!$A$2:$A$6</xm:f>
          </x14:formula1>
          <xm:sqref>C7:C1048576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baseColWidth="10" defaultColWidth="10.6640625" defaultRowHeight="14.4" x14ac:dyDescent="0.3"/>
  <cols>
    <col min="1" max="1" width="18.33203125" bestFit="1" customWidth="1"/>
  </cols>
  <sheetData>
    <row r="1" spans="1:2" x14ac:dyDescent="0.3">
      <c r="A1" s="76" t="s">
        <v>4</v>
      </c>
      <c r="B1" s="76" t="s">
        <v>65</v>
      </c>
    </row>
    <row r="2" spans="1:2" x14ac:dyDescent="0.3">
      <c r="A2" s="76" t="s">
        <v>27</v>
      </c>
      <c r="B2" s="76" t="s">
        <v>21</v>
      </c>
    </row>
    <row r="3" spans="1:2" x14ac:dyDescent="0.3">
      <c r="A3" s="76" t="s">
        <v>19</v>
      </c>
      <c r="B3" s="76" t="s">
        <v>20</v>
      </c>
    </row>
    <row r="4" spans="1:2" x14ac:dyDescent="0.3">
      <c r="A4" s="76" t="s">
        <v>33</v>
      </c>
      <c r="B4" s="76" t="s">
        <v>30</v>
      </c>
    </row>
    <row r="5" spans="1:2" x14ac:dyDescent="0.3">
      <c r="A5" s="76" t="s">
        <v>32</v>
      </c>
      <c r="B5" s="76" t="s">
        <v>339</v>
      </c>
    </row>
    <row r="6" spans="1:2" x14ac:dyDescent="0.3">
      <c r="A6" s="76" t="s">
        <v>30</v>
      </c>
      <c r="B6" s="7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election activeCell="F28" sqref="F28"/>
    </sheetView>
  </sheetViews>
  <sheetFormatPr baseColWidth="10" defaultColWidth="8.6640625" defaultRowHeight="14.4" x14ac:dyDescent="0.3"/>
  <cols>
    <col min="1" max="1" width="26.44140625" customWidth="1"/>
    <col min="2" max="2" width="10.33203125" style="15" customWidth="1"/>
    <col min="3" max="10" width="10.6640625" customWidth="1"/>
    <col min="12" max="12" width="3.44140625" style="30" customWidth="1"/>
    <col min="16" max="16" width="9.33203125" bestFit="1" customWidth="1"/>
  </cols>
  <sheetData>
    <row r="1" spans="1:20" x14ac:dyDescent="0.3">
      <c r="A1" s="76"/>
      <c r="B1" s="76"/>
      <c r="C1" s="76" t="s">
        <v>27</v>
      </c>
      <c r="D1" s="76" t="s">
        <v>27</v>
      </c>
      <c r="E1" s="76" t="s">
        <v>32</v>
      </c>
      <c r="F1" s="76" t="s">
        <v>32</v>
      </c>
      <c r="G1" s="76" t="s">
        <v>33</v>
      </c>
      <c r="H1" s="76" t="s">
        <v>33</v>
      </c>
      <c r="I1" s="76"/>
      <c r="J1" s="76"/>
      <c r="K1" s="76"/>
      <c r="N1" t="s">
        <v>19</v>
      </c>
      <c r="O1" s="76" t="s">
        <v>30</v>
      </c>
      <c r="P1" t="s">
        <v>112</v>
      </c>
    </row>
    <row r="2" spans="1:20" s="76" customFormat="1" x14ac:dyDescent="0.3">
      <c r="B2" s="140" t="s">
        <v>74</v>
      </c>
      <c r="C2" s="143" t="s">
        <v>335</v>
      </c>
      <c r="D2" s="143"/>
      <c r="E2" s="143"/>
      <c r="F2" s="143"/>
      <c r="G2" s="143"/>
      <c r="H2" s="143"/>
      <c r="I2" s="141" t="s">
        <v>345</v>
      </c>
      <c r="J2" s="141"/>
      <c r="L2" s="30"/>
    </row>
    <row r="3" spans="1:20" ht="29.4" customHeight="1" x14ac:dyDescent="0.3">
      <c r="A3" s="76"/>
      <c r="B3" s="140"/>
      <c r="C3" s="142" t="s">
        <v>402</v>
      </c>
      <c r="D3" s="142"/>
      <c r="E3" s="142" t="s">
        <v>334</v>
      </c>
      <c r="F3" s="142"/>
      <c r="G3" s="142" t="s">
        <v>336</v>
      </c>
      <c r="H3" s="142"/>
      <c r="I3" s="141"/>
      <c r="J3" s="141"/>
      <c r="K3" s="76"/>
      <c r="R3" t="s">
        <v>66</v>
      </c>
      <c r="S3" t="s">
        <v>344</v>
      </c>
      <c r="T3" t="s">
        <v>357</v>
      </c>
    </row>
    <row r="4" spans="1:20" s="15" customFormat="1" ht="28.8" x14ac:dyDescent="0.3">
      <c r="A4" s="76"/>
      <c r="B4" s="76"/>
      <c r="C4" s="21" t="s">
        <v>67</v>
      </c>
      <c r="D4" s="21" t="s">
        <v>68</v>
      </c>
      <c r="E4" s="21" t="s">
        <v>67</v>
      </c>
      <c r="F4" s="21" t="s">
        <v>68</v>
      </c>
      <c r="G4" s="21" t="s">
        <v>67</v>
      </c>
      <c r="H4" s="21" t="s">
        <v>68</v>
      </c>
      <c r="I4" s="88" t="s">
        <v>67</v>
      </c>
      <c r="J4" s="88" t="s">
        <v>68</v>
      </c>
      <c r="K4" s="76"/>
      <c r="L4" s="30"/>
    </row>
    <row r="5" spans="1:20" x14ac:dyDescent="0.3">
      <c r="A5" s="76" t="s">
        <v>69</v>
      </c>
      <c r="B5" s="22">
        <f ca="1">SUMIF(INDIRECT("Area_"&amp;K5&amp;"!$E$7:$E$51",TRUE),"=1",INDIRECT("Area_"&amp;K5&amp;"!$b$7:$b$51",TRUE))</f>
        <v>109921.75</v>
      </c>
      <c r="C5" s="23" t="str">
        <f>CONCATENATE(COUNTIFS('Practices captured_details'!$B:$B,"="&amp;$K5,'Practices captured_details'!$C:$C,"="&amp;C$1),"/",COUNTIFS('Practices captured_details'!$B:$B,"="&amp;$K5,'Practices captured_details'!$C:$C,"&lt;&gt;",'Practices captured_details'!$C:$C,"&lt;&gt;Unclear from reporting",'Practices captured_details'!$C:$C,"&lt;&gt;NA"))</f>
        <v>5/27</v>
      </c>
      <c r="D5" s="24">
        <f ca="1">SUMIFS('Practices captured_details'!$S:$S,'Practices captured_details'!$B:$B,"="&amp;$K5,'Practices captured_details'!$C:$C,"="&amp;D$1)/SUMIFS('Practices captured_details'!$S:$S,'Practices captured_details'!$B:$B,"="&amp;$K5,'Practices captured_details'!$C:$C,"&lt;&gt;")</f>
        <v>4.802673551951122E-2</v>
      </c>
      <c r="E5" s="23" t="str">
        <f>CONCATENATE(COUNTIFS('Practices captured_details'!$B:$B,"="&amp;$K5,'Practices captured_details'!$C:$C,"="&amp;E$1),"/",COUNTIFS('Practices captured_details'!$B:$B,"="&amp;$K5,'Practices captured_details'!$C:$C,"&lt;&gt;",'Practices captured_details'!$C:$C,"&lt;&gt;Unclear from reporting",'Practices captured_details'!$C:$C,"&lt;&gt;NA"))</f>
        <v>1/27</v>
      </c>
      <c r="F5" s="24">
        <f ca="1">SUMIFS('Practices captured_details'!$S:$S,'Practices captured_details'!$B:$B,"="&amp;$K5,'Practices captured_details'!$C:$C,"="&amp;F$1)/SUMIFS('Practices captured_details'!$S:$S,'Practices captured_details'!$B:$B,"="&amp;$K5,'Practices captured_details'!$C:$C,"&lt;&gt;")</f>
        <v>7.9817197198850127E-3</v>
      </c>
      <c r="G5" s="23" t="str">
        <f>CONCATENATE(COUNTIFS('Practices captured_details'!$B:$B,"="&amp;$K5,'Practices captured_details'!$C:$C,"="&amp;G$1),"/",COUNTIFS('Practices captured_details'!$B:$B,"="&amp;$K5,'Practices captured_details'!$C:$C,"&lt;&gt;",'Practices captured_details'!$C:$C,"&lt;&gt;Unclear from reporting",'Practices captured_details'!$C:$C,"&lt;&gt;NA"))</f>
        <v>3/27</v>
      </c>
      <c r="H5" s="24">
        <f ca="1">SUMIFS('Practices captured_details'!$S:$S,'Practices captured_details'!$B:$B,"="&amp;$K5,'Practices captured_details'!$C:$C,"="&amp;H$1)/SUMIFS('Practices captured_details'!$S:$S,'Practices captured_details'!$B:$B,"="&amp;$K5,'Practices captured_details'!$C:$C,"&lt;&gt;")</f>
        <v>6.952192057404058E-2</v>
      </c>
      <c r="I5" s="89" t="str">
        <f ca="1">CONCATENATE(COUNTIFS(INDIRECT("SD_IEF_"&amp;K5&amp;"!$AG:$AG",TRUE),"&gt;0.01",INDIRECT("SD_IEF_"&amp;K5&amp;"!$Ah:$Ah",TRUE),"=1"),"/",COUNTIFS(INDIRECT("SD_IEF_"&amp;K5&amp;"!$Ah:$Ah",TRUE),"=1"))</f>
        <v>0/27</v>
      </c>
      <c r="J5" s="90">
        <f ca="1">SUMIFS(INDIRECT("SD_IEF_"&amp;K5&amp;"!$Ai:$Ai",TRUE),INDIRECT("SD_IEF_"&amp;K5&amp;"!$Ag:$Ag",TRUE),"&gt;0.01",INDIRECT("SD_IEF_"&amp;K5&amp;"!$Ah:$Ah",TRUE),"=1")/SUMIFS(INDIRECT("SD_IEF_"&amp;K5&amp;"!$Ai:$Ai",TRUE),INDIRECT("SD_IEF_"&amp;K5&amp;"!$Ah:$Ah",TRUE),"=1")</f>
        <v>0</v>
      </c>
      <c r="K5" s="76" t="s">
        <v>18</v>
      </c>
      <c r="N5" s="23" t="str">
        <f>CONCATENATE(COUNTIFS('Practices captured_details'!$B:$B,"="&amp;$K5,'Practices captured_details'!$C:$C,"="&amp;N$1),"/",COUNTIFS('Practices captured_details'!$B:$B,"="&amp;$K5,'Practices captured_details'!$C:$C,"&lt;&gt;",'Practices captured_details'!$C:$C,"&lt;&gt;Unclear from reporting",'Practices captured_details'!$C:$C,"&lt;&gt;NA"))</f>
        <v>18/27</v>
      </c>
      <c r="O5" s="23" t="str">
        <f>CONCATENATE(COUNTIFS('Practices captured_details'!$B:$B,"="&amp;$K5,'Practices captured_details'!$C:$C,"="&amp;O$1),"/",COUNTIFS('Practices captured_details'!$B:$B,"="&amp;$K5,'Practices captured_details'!$C:$C,"&lt;&gt;",'Practices captured_details'!$C:$C,"&lt;&gt;Unclear from reporting",'Practices captured_details'!$C:$C,"&lt;&gt;NA"))</f>
        <v>0/27</v>
      </c>
      <c r="P5">
        <f>SUM(VALUE(LEFT(C5,SEARCH("/",C5)-1)),VALUE(LEFT(E5,SEARCH("/",E5)-1)),VALUE(LEFT(G5,SEARCH("/",G5)-1)),VALUE(LEFT(N5,SEARCH("/",N5)-1)))</f>
        <v>27</v>
      </c>
      <c r="R5" s="22">
        <f ca="1">SUMIF(INDIRECT("Area_"&amp;K5&amp;"!$E$7:$E$51",TRUE),"=1",INDIRECT("Area_"&amp;K5&amp;"!$c$7:$c$51",TRUE))</f>
        <v>111033.64</v>
      </c>
      <c r="S5" s="24">
        <f ca="1">B5/R5</f>
        <v>0.98998600784410928</v>
      </c>
      <c r="T5" s="22">
        <f ca="1">+(1-S5)*R5</f>
        <v>1111.8899999999937</v>
      </c>
    </row>
    <row r="6" spans="1:20" x14ac:dyDescent="0.3">
      <c r="A6" s="76" t="s">
        <v>70</v>
      </c>
      <c r="B6" s="22">
        <f ca="1">SUMIF(INDIRECT("Area_"&amp;K6&amp;"!$E$7:$E$51",TRUE),"=1",INDIRECT("Area_"&amp;K6&amp;"!$b$7:$b$51",TRUE))</f>
        <v>62050.073509072718</v>
      </c>
      <c r="C6" s="23" t="str">
        <f>CONCATENATE(COUNTIFS('Practices captured_details'!$B:$B,"="&amp;$K6,'Practices captured_details'!$C:$C,"="&amp;C$1),"/",COUNTIFS('Practices captured_details'!$B:$B,"="&amp;$K6,'Practices captured_details'!$C:$C,"&lt;&gt;",'Practices captured_details'!$C:$C,"&lt;&gt;Unclear from reporting",'Practices captured_details'!$C:$C,"&lt;&gt;NA"))</f>
        <v>12/27</v>
      </c>
      <c r="D6" s="24">
        <f ca="1">SUMIFS('Practices captured_details'!$S:$S,'Practices captured_details'!$B:$B,"="&amp;$K6,'Practices captured_details'!$C:$C,"="&amp;D$1)/SUMIFS('Practices captured_details'!$S:$S,'Practices captured_details'!$B:$B,"="&amp;$K6,'Practices captured_details'!$C:$C,"&lt;&gt;")</f>
        <v>0.3267460103649848</v>
      </c>
      <c r="E6" s="23" t="str">
        <f>CONCATENATE(COUNTIFS('Practices captured_details'!$B:$B,"="&amp;$K6,'Practices captured_details'!$C:$C,"="&amp;E$1),"/",COUNTIFS('Practices captured_details'!$B:$B,"="&amp;$K6,'Practices captured_details'!$C:$C,"&lt;&gt;",'Practices captured_details'!$C:$C,"&lt;&gt;Unclear from reporting",'Practices captured_details'!$C:$C,"&lt;&gt;NA"))</f>
        <v>2/27</v>
      </c>
      <c r="F6" s="24">
        <f ca="1">SUMIFS('Practices captured_details'!$S:$S,'Practices captured_details'!$B:$B,"="&amp;$K6,'Practices captured_details'!$C:$C,"="&amp;F$1)/SUMIFS('Practices captured_details'!$S:$S,'Practices captured_details'!$B:$B,"="&amp;$K6,'Practices captured_details'!$C:$C,"&lt;&gt;")</f>
        <v>1.4906469733371687E-2</v>
      </c>
      <c r="G6" s="23" t="str">
        <f>CONCATENATE(COUNTIFS('Practices captured_details'!$B:$B,"="&amp;$K6,'Practices captured_details'!$C:$C,"="&amp;G$1),"/",COUNTIFS('Practices captured_details'!$B:$B,"="&amp;$K6,'Practices captured_details'!$C:$C,"&lt;&gt;",'Practices captured_details'!$C:$C,"&lt;&gt;Unclear from reporting",'Practices captured_details'!$C:$C,"&lt;&gt;NA"))</f>
        <v>1/27</v>
      </c>
      <c r="H6" s="24">
        <f ca="1">SUMIFS('Practices captured_details'!$S:$S,'Practices captured_details'!$B:$B,"="&amp;$K6,'Practices captured_details'!$C:$C,"="&amp;H$1)/SUMIFS('Practices captured_details'!$S:$S,'Practices captured_details'!$B:$B,"="&amp;$K6,'Practices captured_details'!$C:$C,"&lt;&gt;")</f>
        <v>4.6918083622512806E-3</v>
      </c>
      <c r="I6" s="89" t="str">
        <f ca="1">CONCATENATE(COUNTIFS(INDIRECT("SD_IEF_"&amp;K6&amp;"!$AG:$AG",TRUE),"&gt;0.01",INDIRECT("SD_IEF_"&amp;K6&amp;"!$Ah:$Ah",TRUE),"=1"),"/",COUNTIFS(INDIRECT("SD_IEF_"&amp;K6&amp;"!$Ah:$Ah",TRUE),"=1"))</f>
        <v>0/27</v>
      </c>
      <c r="J6" s="90">
        <f ca="1">SUMIFS(INDIRECT("SD_IEF_"&amp;K6&amp;"!$Ai:$Ai",TRUE),INDIRECT("SD_IEF_"&amp;K6&amp;"!$Ag:$Ag",TRUE),"&gt;0.01",INDIRECT("SD_IEF_"&amp;K6&amp;"!$Ah:$Ah",TRUE),"=1")/SUMIFS(INDIRECT("SD_IEF_"&amp;K6&amp;"!$Ai:$Ai",TRUE),INDIRECT("SD_IEF_"&amp;K6&amp;"!$Ah:$Ah",TRUE),"=1")</f>
        <v>0</v>
      </c>
      <c r="K6" s="76" t="s">
        <v>22</v>
      </c>
      <c r="N6" s="23" t="str">
        <f>CONCATENATE(COUNTIFS('Practices captured_details'!$B:$B,"="&amp;$K6,'Practices captured_details'!$C:$C,"="&amp;N$1),"/",COUNTIFS('Practices captured_details'!$B:$B,"="&amp;$K6,'Practices captured_details'!$C:$C,"&lt;&gt;",'Practices captured_details'!$C:$C,"&lt;&gt;Unclear from reporting",'Practices captured_details'!$C:$C,"&lt;&gt;NA"))</f>
        <v>12/27</v>
      </c>
      <c r="O6" s="23" t="str">
        <f>CONCATENATE(COUNTIFS('Practices captured_details'!$B:$B,"="&amp;$K6,'Practices captured_details'!$C:$C,"="&amp;O$1),"/",COUNTIFS('Practices captured_details'!$B:$B,"="&amp;$K6,'Practices captured_details'!$C:$C,"&lt;&gt;",'Practices captured_details'!$C:$C,"&lt;&gt;Unclear from reporting",'Practices captured_details'!$C:$C,"&lt;&gt;NA"))</f>
        <v>0/27</v>
      </c>
      <c r="P6" s="76">
        <f>SUM(VALUE(LEFT(C6,SEARCH("/",C6)-1)),VALUE(LEFT(E6,SEARCH("/",E6)-1)),VALUE(LEFT(G6,SEARCH("/",G6)-1)),VALUE(LEFT(N6,SEARCH("/",N6)-1)))</f>
        <v>27</v>
      </c>
      <c r="R6" s="22">
        <f t="shared" ref="R6:R7" ca="1" si="0">SUMIF(INDIRECT("Area_"&amp;K6&amp;"!$E$7:$E$51",TRUE),"=1",INDIRECT("Area_"&amp;K6&amp;"!$c$7:$c$51",TRUE))</f>
        <v>64519.058138466033</v>
      </c>
      <c r="S6" s="24">
        <f t="shared" ref="S6:S10" ca="1" si="1">B6/R6</f>
        <v>0.96173247563387299</v>
      </c>
      <c r="T6" s="22">
        <f t="shared" ref="T6:T10" ca="1" si="2">+(1-S6)*R6</f>
        <v>2468.9846293933142</v>
      </c>
    </row>
    <row r="7" spans="1:20" x14ac:dyDescent="0.3">
      <c r="A7" s="76" t="s">
        <v>71</v>
      </c>
      <c r="B7" s="22">
        <f ca="1">SUMIF(INDIRECT("Area_"&amp;K7&amp;"!$E$7:$E$51",TRUE),"=1",INDIRECT("Area_"&amp;K7&amp;"!$b$7:$b$51",TRUE))</f>
        <v>145481.49898658716</v>
      </c>
      <c r="C7" s="23" t="str">
        <f>CONCATENATE(COUNTIFS('Practices captured_details'!$B:$B,"="&amp;$K7,'Practices captured_details'!$C:$C,"="&amp;C$1),"/",COUNTIFS('Practices captured_details'!$B:$B,"="&amp;$K7,'Practices captured_details'!$C:$C,"&lt;&gt;",'Practices captured_details'!$C:$C,"&lt;&gt;Unclear from reporting",'Practices captured_details'!$C:$C,"&lt;&gt;NA"))</f>
        <v>19/27</v>
      </c>
      <c r="D7" s="24">
        <f ca="1">SUMIFS('Practices captured_details'!$S:$S,'Practices captured_details'!$B:$B,"="&amp;$K7,'Practices captured_details'!$C:$C,"="&amp;D$1)/SUMIFS('Practices captured_details'!$S:$S,'Practices captured_details'!$B:$B,"="&amp;$K7,'Practices captured_details'!$C:$C,"&lt;&gt;")</f>
        <v>0.51560328105796804</v>
      </c>
      <c r="E7" s="23" t="str">
        <f>CONCATENATE(COUNTIFS('Practices captured_details'!$B:$B,"="&amp;$K7,'Practices captured_details'!$C:$C,"="&amp;E$1),"/",COUNTIFS('Practices captured_details'!$B:$B,"="&amp;$K7,'Practices captured_details'!$C:$C,"&lt;&gt;",'Practices captured_details'!$C:$C,"&lt;&gt;Unclear from reporting",'Practices captured_details'!$C:$C,"&lt;&gt;NA"))</f>
        <v>2/27</v>
      </c>
      <c r="F7" s="24">
        <f ca="1">SUMIFS('Practices captured_details'!$S:$S,'Practices captured_details'!$B:$B,"="&amp;$K7,'Practices captured_details'!$C:$C,"="&amp;F$1)/SUMIFS('Practices captured_details'!$S:$S,'Practices captured_details'!$B:$B,"="&amp;$K7,'Practices captured_details'!$C:$C,"&lt;&gt;")</f>
        <v>0.2423438859752983</v>
      </c>
      <c r="G7" s="23" t="str">
        <f>CONCATENATE(COUNTIFS('Practices captured_details'!$B:$B,"="&amp;$K7,'Practices captured_details'!$C:$C,"="&amp;G$1),"/",COUNTIFS('Practices captured_details'!$B:$B,"="&amp;$K7,'Practices captured_details'!$C:$C,"&lt;&gt;",'Practices captured_details'!$C:$C,"&lt;&gt;Unclear from reporting",'Practices captured_details'!$C:$C,"&lt;&gt;NA"))</f>
        <v>3/27</v>
      </c>
      <c r="H7" s="24">
        <f ca="1">SUMIFS('Practices captured_details'!$S:$S,'Practices captured_details'!$B:$B,"="&amp;$K7,'Practices captured_details'!$C:$C,"="&amp;H$1)/SUMIFS('Practices captured_details'!$S:$S,'Practices captured_details'!$B:$B,"="&amp;$K7,'Practices captured_details'!$C:$C,"&lt;&gt;")</f>
        <v>0.14048403996815223</v>
      </c>
      <c r="I7" s="89" t="str">
        <f ca="1">CONCATENATE(COUNTIFS(INDIRECT("SD_IEF_"&amp;K7&amp;"!$AG:$AG",TRUE),"&gt;0.01",INDIRECT("SD_IEF_"&amp;K7&amp;"!$Ah:$Ah",TRUE),"=1"),"/",COUNTIFS(INDIRECT("SD_IEF_"&amp;K7&amp;"!$Ah:$Ah",TRUE),"=1"))</f>
        <v>0/27</v>
      </c>
      <c r="J7" s="90">
        <f ca="1">SUMIFS(INDIRECT("SD_IEF_"&amp;K7&amp;"!$Ai:$Ai",TRUE),INDIRECT("SD_IEF_"&amp;K7&amp;"!$Ag:$Ag",TRUE),"&gt;0.01",INDIRECT("SD_IEF_"&amp;K7&amp;"!$Ah:$Ah",TRUE),"=1")/SUMIFS(INDIRECT("SD_IEF_"&amp;K7&amp;"!$Ai:$Ai",TRUE),INDIRECT("SD_IEF_"&amp;K7&amp;"!$Ah:$Ah",TRUE),"=1")</f>
        <v>0</v>
      </c>
      <c r="K7" s="76" t="s">
        <v>24</v>
      </c>
      <c r="N7" s="23" t="str">
        <f>CONCATENATE(COUNTIFS('Practices captured_details'!$B:$B,"="&amp;$K7,'Practices captured_details'!$C:$C,"="&amp;N$1),"/",COUNTIFS('Practices captured_details'!$B:$B,"="&amp;$K7,'Practices captured_details'!$C:$C,"&lt;&gt;",'Practices captured_details'!$C:$C,"&lt;&gt;Unclear from reporting",'Practices captured_details'!$C:$C,"&lt;&gt;NA"))</f>
        <v>3/27</v>
      </c>
      <c r="O7" s="23" t="str">
        <f>CONCATENATE(COUNTIFS('Practices captured_details'!$B:$B,"="&amp;$K7,'Practices captured_details'!$C:$C,"="&amp;O$1),"/",COUNTIFS('Practices captured_details'!$B:$B,"="&amp;$K7,'Practices captured_details'!$C:$C,"&lt;&gt;",'Practices captured_details'!$C:$C,"&lt;&gt;Unclear from reporting",'Practices captured_details'!$C:$C,"&lt;&gt;NA"))</f>
        <v>0/27</v>
      </c>
      <c r="P7" s="76">
        <f>SUM(VALUE(LEFT(C7,SEARCH("/",C7)-1)),VALUE(LEFT(E7,SEARCH("/",E7)-1)),VALUE(LEFT(G7,SEARCH("/",G7)-1)),VALUE(LEFT(N7,SEARCH("/",N7)-1)))</f>
        <v>27</v>
      </c>
      <c r="R7" s="22">
        <f t="shared" ca="1" si="0"/>
        <v>157517.98421212466</v>
      </c>
      <c r="S7" s="24">
        <f t="shared" ca="1" si="1"/>
        <v>0.92358659688452882</v>
      </c>
      <c r="T7" s="22">
        <f t="shared" ca="1" si="2"/>
        <v>12036.485225537506</v>
      </c>
    </row>
    <row r="8" spans="1:20" x14ac:dyDescent="0.3">
      <c r="A8" t="s">
        <v>112</v>
      </c>
      <c r="B8" s="22">
        <f ca="1">SUM(B5:B7)</f>
        <v>317453.32249565987</v>
      </c>
      <c r="D8" s="24">
        <f ca="1">SUMPRODUCT($B$5:$B$7,D5:D7)/$B$8</f>
        <v>0.31678526530188089</v>
      </c>
      <c r="F8" s="24">
        <f ca="1">SUMPRODUCT($B$5:$B$7,F5:F7)/$B$8</f>
        <v>0.11673799364554883</v>
      </c>
      <c r="H8" s="24">
        <f ca="1">SUMPRODUCT($B$5:$B$7,H5:H7)/$B$8</f>
        <v>8.9370389075937334E-2</v>
      </c>
      <c r="I8" s="95"/>
      <c r="J8" s="90">
        <f ca="1">SUMPRODUCT($B$5:$B$7,J5:J7)/$B$8</f>
        <v>0</v>
      </c>
      <c r="R8" s="22">
        <f ca="1">SUM(R5:R7)</f>
        <v>333070.68235059071</v>
      </c>
      <c r="S8" s="24">
        <f t="shared" ca="1" si="1"/>
        <v>0.95311097408900136</v>
      </c>
      <c r="T8" s="22">
        <f t="shared" ca="1" si="2"/>
        <v>15617.359854930844</v>
      </c>
    </row>
    <row r="10" spans="1:20" x14ac:dyDescent="0.3">
      <c r="B10" s="22">
        <f ca="1">SUMIF(INDIRECT("Area_"&amp;K10&amp;"!$E$7:$E$51",TRUE),"=1",INDIRECT("Area_"&amp;K10&amp;"!$b$7:$b$51",TRUE))</f>
        <v>6397.9214062453493</v>
      </c>
      <c r="K10" t="s">
        <v>360</v>
      </c>
      <c r="Q10" t="s">
        <v>358</v>
      </c>
      <c r="R10" s="22">
        <f t="shared" ref="R10" ca="1" si="3">SUMIF(INDIRECT("Area_"&amp;K10&amp;"!$E$7:$E$51",TRUE),"=1",INDIRECT("Area_"&amp;K10&amp;"!$c$7:$c$51",TRUE))</f>
        <v>22506.287252944512</v>
      </c>
      <c r="S10" s="24">
        <f t="shared" ca="1" si="1"/>
        <v>0.28427262721479329</v>
      </c>
      <c r="T10" s="22">
        <f t="shared" ca="1" si="2"/>
        <v>16108.365846699162</v>
      </c>
    </row>
    <row r="11" spans="1:20" x14ac:dyDescent="0.3">
      <c r="Q11" t="s">
        <v>359</v>
      </c>
      <c r="T11" s="22">
        <f>Area_CRFII!$D$9</f>
        <v>239.60276084594841</v>
      </c>
    </row>
    <row r="13" spans="1:20" x14ac:dyDescent="0.3">
      <c r="Q13" t="s">
        <v>361</v>
      </c>
      <c r="T13" s="22">
        <f ca="1">SUM(T8,T10,T11)</f>
        <v>31965.328462475954</v>
      </c>
    </row>
  </sheetData>
  <mergeCells count="6">
    <mergeCell ref="B2:B3"/>
    <mergeCell ref="I2:J3"/>
    <mergeCell ref="C3:D3"/>
    <mergeCell ref="E3:F3"/>
    <mergeCell ref="G3:H3"/>
    <mergeCell ref="C2:H2"/>
  </mergeCells>
  <pageMargins left="0.7" right="0.7" top="0.75" bottom="0.75" header="0.3" footer="0.3"/>
  <pageSetup paperSize="9" orientation="portrait" r:id="rId1"/>
  <ignoredErrors>
    <ignoredError sqref="D5:F7"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workbookViewId="0">
      <selection activeCell="G31" sqref="G31"/>
    </sheetView>
  </sheetViews>
  <sheetFormatPr baseColWidth="10" defaultColWidth="11.44140625" defaultRowHeight="14.4" x14ac:dyDescent="0.3"/>
  <cols>
    <col min="1" max="1" width="4.6640625" customWidth="1"/>
    <col min="2" max="2" width="17.33203125" customWidth="1"/>
    <col min="3" max="3" width="16.6640625" customWidth="1"/>
    <col min="4" max="4" width="17" customWidth="1"/>
    <col min="5" max="5" width="17.6640625" customWidth="1"/>
    <col min="6" max="6" width="15" customWidth="1"/>
    <col min="8" max="8" width="26.5546875" customWidth="1"/>
  </cols>
  <sheetData>
    <row r="1" spans="1:14" s="76" customFormat="1" x14ac:dyDescent="0.3">
      <c r="I1" s="76" t="s">
        <v>67</v>
      </c>
      <c r="J1" s="76" t="s">
        <v>403</v>
      </c>
      <c r="K1" s="76" t="s">
        <v>67</v>
      </c>
      <c r="L1" s="76" t="s">
        <v>68</v>
      </c>
      <c r="M1" s="76" t="s">
        <v>67</v>
      </c>
      <c r="N1" s="76" t="s">
        <v>68</v>
      </c>
    </row>
    <row r="2" spans="1:14" ht="28.8" x14ac:dyDescent="0.3">
      <c r="A2" s="76"/>
      <c r="B2" s="76"/>
      <c r="C2" s="76"/>
      <c r="D2" s="21" t="s">
        <v>69</v>
      </c>
      <c r="E2" s="21" t="s">
        <v>70</v>
      </c>
      <c r="F2" s="21" t="s">
        <v>71</v>
      </c>
      <c r="G2" s="76"/>
      <c r="H2" s="76"/>
      <c r="I2" s="77" t="s">
        <v>69</v>
      </c>
      <c r="K2" s="77" t="s">
        <v>70</v>
      </c>
      <c r="M2" s="77" t="s">
        <v>71</v>
      </c>
    </row>
    <row r="3" spans="1:14" s="28" customFormat="1" x14ac:dyDescent="0.3">
      <c r="A3" s="76" t="s">
        <v>66</v>
      </c>
      <c r="B3" s="76"/>
      <c r="C3" s="76"/>
      <c r="D3" s="22">
        <f ca="1">SUMIF(INDIRECT("Area_"&amp;D$29&amp;"!$E$7:$E$51",TRUE),"=1",INDIRECT("Area_"&amp;D$29&amp;"!$b$7:$b$51",TRUE))</f>
        <v>109921.75</v>
      </c>
      <c r="E3" s="22">
        <f ca="1">SUMIF(INDIRECT("Area_"&amp;E$29&amp;"!$E$7:$E$51",TRUE),"=1",INDIRECT("Area_"&amp;E$29&amp;"!$b$7:$b$51",TRUE))</f>
        <v>62050.073509072718</v>
      </c>
      <c r="F3" s="22">
        <f ca="1">SUMIF(INDIRECT("Area_"&amp;F$29&amp;"!$E$7:$E$51",TRUE),"=1",INDIRECT("Area_"&amp;F$29&amp;"!$b$7:$b$51",TRUE))</f>
        <v>145481.49898658716</v>
      </c>
      <c r="G3" s="76"/>
      <c r="H3" s="76"/>
      <c r="I3" s="22">
        <f t="shared" ref="I3:N3" ca="1" si="0">SUMIF(INDIRECT("Area_"&amp;I$29&amp;"!$E$7:$E$51",TRUE),"=1",INDIRECT("Area_"&amp;I$29&amp;"!$b$7:$b$51",TRUE))</f>
        <v>109921.75</v>
      </c>
      <c r="J3" s="22">
        <f t="shared" ca="1" si="0"/>
        <v>109921.75</v>
      </c>
      <c r="K3" s="22">
        <f t="shared" ca="1" si="0"/>
        <v>62050.073509072718</v>
      </c>
      <c r="L3" s="22">
        <f t="shared" ca="1" si="0"/>
        <v>62050.073509072718</v>
      </c>
      <c r="M3" s="22">
        <f t="shared" ca="1" si="0"/>
        <v>145481.49898658716</v>
      </c>
      <c r="N3" s="22">
        <f t="shared" ca="1" si="0"/>
        <v>145481.49898658716</v>
      </c>
    </row>
    <row r="4" spans="1:14" s="28" customFormat="1" ht="14.7" customHeight="1" x14ac:dyDescent="0.3">
      <c r="A4" s="144" t="s">
        <v>0</v>
      </c>
      <c r="B4" s="145" t="s">
        <v>7</v>
      </c>
      <c r="C4" s="21" t="s">
        <v>67</v>
      </c>
      <c r="D4" s="31" t="str">
        <f ca="1">COUNTIFS('Practices captured_details'!$B:$B,"="&amp;D$29,INDIRECT("'Practices captured_details'!C"&amp;MATCH($B4,'Practices captured_details'!$6:$6,0),FALSE),"=Captured by reporting method")&amp;"/"&amp;COUNTIFS('Practices captured_details'!$B:$B,"="&amp;D$29,INDIRECT("'Practices captured_details'!C"&amp;MATCH($B4,'Practices captured_details'!$6:$6,0),FALSE),"&lt;&gt;",INDIRECT("'Practices captured_details'!C"&amp;MATCH($B4,'Practices captured_details'!$6:$6,0),FALSE),"&lt;&gt;Unclear from NIR")</f>
        <v>1/26</v>
      </c>
      <c r="E4" s="31"/>
      <c r="F4" s="31"/>
      <c r="G4" s="31"/>
      <c r="H4" s="31" t="s">
        <v>7</v>
      </c>
      <c r="I4" s="31">
        <f ca="1">COUNTIFS('Practices captured_details'!$B:$B,"="&amp;I$29,INDIRECT("'Practices captured_details'!C"&amp;MATCH($H4,'Practices captured_details'!$6:$6,0),FALSE),"=Captured by reporting method")</f>
        <v>1</v>
      </c>
      <c r="J4" s="32">
        <f ca="1">SUMIFS('Practices captured_details'!$S:$S,'Practices captured_details'!$B:$B,"="&amp;J$29,INDIRECT("'Practices captured_details'!C"&amp;MATCH($H4,'Practices captured_details'!$6:$6,0),FALSE),"=Captured by reporting method")/SUMIFS('Practices captured_details'!$S:$S,'Practices captured_details'!$B:$B,"="&amp;J$29,INDIRECT("'Practices captured_details'!C"&amp;MATCH($H4,'Practices captured_details'!$6:$6,0),FALSE),"&lt;&gt;",INDIRECT("'Practices captured_details'!C"&amp;MATCH($H4,'Practices captured_details'!$6:$6,0),FALSE),"&lt;&gt;Unclear from NIR")</f>
        <v>8.3838916303684684E-3</v>
      </c>
      <c r="K4" s="31"/>
    </row>
    <row r="5" spans="1:14" s="28" customFormat="1" x14ac:dyDescent="0.3">
      <c r="A5" s="144"/>
      <c r="B5" s="145"/>
      <c r="C5" s="21" t="s">
        <v>68</v>
      </c>
      <c r="D5" s="32">
        <f ca="1">SUMIFS('Practices captured_details'!$S:$S,'Practices captured_details'!$B:$B,"="&amp;D$29,INDIRECT("'Practices captured_details'!C"&amp;MATCH($B4,'Practices captured_details'!$6:$6,0),FALSE),"=Captured by reporting method")/SUMIFS('Practices captured_details'!$S:$S,'Practices captured_details'!$B:$B,"="&amp;D$29,INDIRECT("'Practices captured_details'!C"&amp;MATCH($B4,'Practices captured_details'!$6:$6,0),FALSE),"&lt;&gt;",INDIRECT("'Practices captured_details'!C"&amp;MATCH($B4,'Practices captured_details'!$6:$6,0),FALSE),"&lt;&gt;Unclear from NIR")</f>
        <v>8.3838916303684684E-3</v>
      </c>
      <c r="E5" s="32"/>
      <c r="F5" s="32"/>
      <c r="G5" s="31"/>
      <c r="H5" s="76" t="s">
        <v>8</v>
      </c>
      <c r="I5" s="31">
        <f ca="1">COUNTIFS('Practices captured_details'!$B:$B,"="&amp;I$29,INDIRECT("'Practices captured_details'!C"&amp;MATCH($H5,'Practices captured_details'!$6:$6,0),FALSE),"=Captured by reporting method")</f>
        <v>4</v>
      </c>
      <c r="J5" s="32">
        <f ca="1">SUMIFS('Practices captured_details'!$S:$S,'Practices captured_details'!$B:$B,"="&amp;J$29,INDIRECT("'Practices captured_details'!C"&amp;MATCH($H5,'Practices captured_details'!$6:$6,0),FALSE),"=Captured by reporting method")/SUMIFS('Practices captured_details'!$S:$S,'Practices captured_details'!$B:$B,"="&amp;J$29,INDIRECT("'Practices captured_details'!C"&amp;MATCH($H5,'Practices captured_details'!$6:$6,0),FALSE),"&lt;&gt;",INDIRECT("'Practices captured_details'!C"&amp;MATCH($H5,'Practices captured_details'!$6:$6,0),FALSE),"&lt;&gt;Unclear from NIR")</f>
        <v>4.7836894058839882E-2</v>
      </c>
      <c r="K5" s="31"/>
    </row>
    <row r="6" spans="1:14" x14ac:dyDescent="0.3">
      <c r="A6" s="144"/>
      <c r="B6" s="145" t="s">
        <v>8</v>
      </c>
      <c r="C6" s="21" t="s">
        <v>67</v>
      </c>
      <c r="D6" s="31" t="str">
        <f ca="1">COUNTIFS('Practices captured_details'!$B:$B,"="&amp;D$29,INDIRECT("'Practices captured_details'!C"&amp;MATCH($B6,'Practices captured_details'!$6:$6,0),FALSE),"=Captured by reporting method")&amp;"/"&amp;COUNTIFS('Practices captured_details'!$B:$B,"="&amp;D$29,INDIRECT("'Practices captured_details'!C"&amp;MATCH($B6,'Practices captured_details'!$6:$6,0),FALSE),"&lt;&gt;",INDIRECT("'Practices captured_details'!C"&amp;MATCH($B6,'Practices captured_details'!$6:$6,0),FALSE),"&lt;&gt;Unclear from NIR")</f>
        <v>4/25</v>
      </c>
      <c r="E6" s="31"/>
      <c r="F6" s="31"/>
      <c r="G6" s="76"/>
      <c r="H6" s="76" t="s">
        <v>9</v>
      </c>
      <c r="I6" s="31">
        <f ca="1">COUNTIFS('Practices captured_details'!$B:$B,"="&amp;I$29,INDIRECT("'Practices captured_details'!C"&amp;MATCH($H6,'Practices captured_details'!$6:$6,0),FALSE),"=Captured by reporting method")</f>
        <v>5</v>
      </c>
      <c r="J6" s="32">
        <f ca="1">SUMIFS('Practices captured_details'!$S:$S,'Practices captured_details'!$B:$B,"="&amp;J$29,INDIRECT("'Practices captured_details'!C"&amp;MATCH($H6,'Practices captured_details'!$6:$6,0),FALSE),"=Captured by reporting method")/SUMIFS('Practices captured_details'!$S:$S,'Practices captured_details'!$B:$B,"="&amp;J$29,INDIRECT("'Practices captured_details'!C"&amp;MATCH($H6,'Practices captured_details'!$6:$6,0),FALSE),"&lt;&gt;",INDIRECT("'Practices captured_details'!C"&amp;MATCH($H6,'Practices captured_details'!$6:$6,0),FALSE),"&lt;&gt;Unclear from NIR")</f>
        <v>0.44624766819841988</v>
      </c>
      <c r="K6" s="76"/>
    </row>
    <row r="7" spans="1:14" s="28" customFormat="1" x14ac:dyDescent="0.3">
      <c r="A7" s="144"/>
      <c r="B7" s="145"/>
      <c r="C7" s="21" t="s">
        <v>68</v>
      </c>
      <c r="D7" s="32">
        <f ca="1">SUMIFS('Practices captured_details'!$S:$S,'Practices captured_details'!$B:$B,"="&amp;D$29,INDIRECT("'Practices captured_details'!C"&amp;MATCH($B6,'Practices captured_details'!$6:$6,0),FALSE),"=Captured by reporting method")/SUMIFS('Practices captured_details'!$S:$S,'Practices captured_details'!$B:$B,"="&amp;D$29,INDIRECT("'Practices captured_details'!C"&amp;MATCH($B6,'Practices captured_details'!$6:$6,0),FALSE),"&lt;&gt;",INDIRECT("'Practices captured_details'!C"&amp;MATCH($B6,'Practices captured_details'!$6:$6,0),FALSE),"&lt;&gt;Unclear from NIR")</f>
        <v>4.7836894058839882E-2</v>
      </c>
      <c r="E7" s="32"/>
      <c r="F7" s="32"/>
      <c r="G7" s="76"/>
      <c r="H7" s="76" t="s">
        <v>10</v>
      </c>
      <c r="I7" s="31">
        <f ca="1">COUNTIFS('Practices captured_details'!$B:$B,"="&amp;I$29,INDIRECT("'Practices captured_details'!C"&amp;MATCH($H7,'Practices captured_details'!$6:$6,0),FALSE),"=Captured by reporting method")</f>
        <v>2</v>
      </c>
      <c r="J7" s="32">
        <f ca="1">SUMIFS('Practices captured_details'!$S:$S,'Practices captured_details'!$B:$B,"="&amp;J$29,INDIRECT("'Practices captured_details'!C"&amp;MATCH($H7,'Practices captured_details'!$6:$6,0),FALSE),"=Captured by reporting method")/SUMIFS('Practices captured_details'!$S:$S,'Practices captured_details'!$B:$B,"="&amp;J$29,INDIRECT("'Practices captured_details'!C"&amp;MATCH($H7,'Practices captured_details'!$6:$6,0),FALSE),"&lt;&gt;",INDIRECT("'Practices captured_details'!C"&amp;MATCH($H7,'Practices captured_details'!$6:$6,0),FALSE),"&lt;&gt;Unclear from NIR")</f>
        <v>0.15104624459345772</v>
      </c>
      <c r="K7" s="76"/>
    </row>
    <row r="8" spans="1:14" x14ac:dyDescent="0.3">
      <c r="A8" s="144"/>
      <c r="B8" s="145" t="s">
        <v>9</v>
      </c>
      <c r="C8" s="21" t="s">
        <v>67</v>
      </c>
      <c r="D8" s="31" t="str">
        <f ca="1">COUNTIFS('Practices captured_details'!$B:$B,"="&amp;D$29,INDIRECT("'Practices captured_details'!C"&amp;MATCH($B8,'Practices captured_details'!$6:$6,0),FALSE),"=Captured by reporting method")&amp;"/"&amp;COUNTIFS('Practices captured_details'!$B:$B,"="&amp;D$29,INDIRECT("'Practices captured_details'!C"&amp;MATCH($B8,'Practices captured_details'!$6:$6,0),FALSE),"&lt;&gt;",INDIRECT("'Practices captured_details'!C"&amp;MATCH($B8,'Practices captured_details'!$6:$6,0),FALSE),"&lt;&gt;Unclear from NIR")</f>
        <v>5/26</v>
      </c>
      <c r="E8" s="31"/>
      <c r="F8" s="31"/>
      <c r="G8" s="76"/>
      <c r="H8" s="76" t="s">
        <v>338</v>
      </c>
      <c r="I8" s="31">
        <f ca="1">COUNTIFS('Practices captured_details'!$B:$B,"="&amp;I$29,INDIRECT("'Practices captured_details'!C"&amp;MATCH($H8,'Practices captured_details'!$6:$6,0),FALSE),"=Captured by reporting method")</f>
        <v>4</v>
      </c>
      <c r="J8" s="32">
        <f ca="1">SUMIFS('Practices captured_details'!$S:$S,'Practices captured_details'!$B:$B,"="&amp;J$29,INDIRECT("'Practices captured_details'!C"&amp;MATCH($H8,'Practices captured_details'!$6:$6,0),FALSE),"=Captured by reporting method")/SUMIFS('Practices captured_details'!$S:$S,'Practices captured_details'!$B:$B,"="&amp;J$29,INDIRECT("'Practices captured_details'!C"&amp;MATCH($H8,'Practices captured_details'!$6:$6,0),FALSE),"&lt;&gt;",INDIRECT("'Practices captured_details'!C"&amp;MATCH($H8,'Practices captured_details'!$6:$6,0),FALSE),"&lt;&gt;Unclear from NIR")</f>
        <v>0.12109166698941592</v>
      </c>
      <c r="K8" s="76"/>
    </row>
    <row r="9" spans="1:14" s="28" customFormat="1" x14ac:dyDescent="0.3">
      <c r="A9" s="144"/>
      <c r="B9" s="145"/>
      <c r="C9" s="21" t="s">
        <v>68</v>
      </c>
      <c r="D9" s="32">
        <f ca="1">SUMIFS('Practices captured_details'!$S:$S,'Practices captured_details'!$B:$B,"="&amp;D$29,INDIRECT("'Practices captured_details'!C"&amp;MATCH($B8,'Practices captured_details'!$6:$6,0),FALSE),"=Captured by reporting method")/SUMIFS('Practices captured_details'!$S:$S,'Practices captured_details'!$B:$B,"="&amp;D$29,INDIRECT("'Practices captured_details'!C"&amp;MATCH($B8,'Practices captured_details'!$6:$6,0),FALSE),"&lt;&gt;",INDIRECT("'Practices captured_details'!C"&amp;MATCH($B8,'Practices captured_details'!$6:$6,0),FALSE),"&lt;&gt;Unclear from NIR")</f>
        <v>0.44624766819841988</v>
      </c>
      <c r="E9" s="32"/>
      <c r="F9" s="32"/>
      <c r="G9" s="76"/>
      <c r="H9" s="76" t="s">
        <v>340</v>
      </c>
      <c r="I9" s="31">
        <f ca="1">COUNTIFS('Practices captured_details'!$B:$B,"="&amp;I$29,INDIRECT("'Practices captured_details'!C"&amp;MATCH($H9,'Practices captured_details'!$6:$6,0),FALSE),"=Captured by reporting method")</f>
        <v>7</v>
      </c>
      <c r="J9" s="32">
        <f ca="1">SUMIFS('Practices captured_details'!$S:$S,'Practices captured_details'!$B:$B,"="&amp;J$29,INDIRECT("'Practices captured_details'!C"&amp;MATCH($H9,'Practices captured_details'!$6:$6,0),FALSE),"=Captured by reporting method")/SUMIFS('Practices captured_details'!$S:$S,'Practices captured_details'!$B:$B,"="&amp;J$29,INDIRECT("'Practices captured_details'!C"&amp;MATCH($H9,'Practices captured_details'!$6:$6,0),FALSE),"&lt;&gt;",INDIRECT("'Practices captured_details'!C"&amp;MATCH($H9,'Practices captured_details'!$6:$6,0),FALSE),"&lt;&gt;Unclear from NIR")</f>
        <v>0.34713586421944903</v>
      </c>
      <c r="K9" s="76"/>
    </row>
    <row r="10" spans="1:14" x14ac:dyDescent="0.3">
      <c r="A10" s="144"/>
      <c r="B10" s="145" t="s">
        <v>10</v>
      </c>
      <c r="C10" s="21" t="s">
        <v>67</v>
      </c>
      <c r="D10" s="31" t="str">
        <f ca="1">COUNTIFS('Practices captured_details'!$B:$B,"="&amp;D$29,INDIRECT("'Practices captured_details'!C"&amp;MATCH($B10,'Practices captured_details'!$6:$6,0),FALSE),"=Captured by reporting method")&amp;"/"&amp;COUNTIFS('Practices captured_details'!$B:$B,"="&amp;D$29,INDIRECT("'Practices captured_details'!C"&amp;MATCH($B10,'Practices captured_details'!$6:$6,0),FALSE),"&lt;&gt;",INDIRECT("'Practices captured_details'!C"&amp;MATCH($B10,'Practices captured_details'!$6:$6,0),FALSE),"&lt;&gt;Unclear from NIR")</f>
        <v>2/26</v>
      </c>
      <c r="E10" s="31" t="str">
        <f ca="1">COUNTIFS('Practices captured_details'!$B:$B,"="&amp;E$29,INDIRECT("'Practices captured_details'!C"&amp;MATCH($B10,'Practices captured_details'!$6:$6,0),FALSE),"=Captured by reporting method")&amp;"/"&amp;COUNTIFS('Practices captured_details'!$B:$B,"="&amp;E$29,INDIRECT("'Practices captured_details'!C"&amp;MATCH($B10,'Practices captured_details'!$6:$6,0),FALSE),"&lt;&gt;",INDIRECT("'Practices captured_details'!C"&amp;MATCH($B10,'Practices captured_details'!$6:$6,0),FALSE),"&lt;&gt;Unclear from NIR")</f>
        <v>3/26</v>
      </c>
      <c r="F10" s="31"/>
      <c r="G10" s="76"/>
      <c r="H10" s="76" t="s">
        <v>341</v>
      </c>
      <c r="I10" s="31">
        <f ca="1">COUNTIFS('Practices captured_details'!$B:$B,"="&amp;I$29,INDIRECT("'Practices captured_details'!C"&amp;MATCH($H10,'Practices captured_details'!$6:$6,0),FALSE),"=Captured by reporting method")</f>
        <v>16</v>
      </c>
      <c r="J10" s="32">
        <f ca="1">SUMIFS('Practices captured_details'!$S:$S,'Practices captured_details'!$B:$B,"="&amp;J$29,INDIRECT("'Practices captured_details'!C"&amp;MATCH($H10,'Practices captured_details'!$6:$6,0),FALSE),"=Captured by reporting method")/SUMIFS('Practices captured_details'!$S:$S,'Practices captured_details'!$B:$B,"="&amp;J$29,INDIRECT("'Practices captured_details'!C"&amp;MATCH($H10,'Practices captured_details'!$6:$6,0),FALSE),"&lt;&gt;",INDIRECT("'Practices captured_details'!C"&amp;MATCH($H10,'Practices captured_details'!$6:$6,0),FALSE),"&lt;&gt;Unclear from NIR")</f>
        <v>0.6338424687664207</v>
      </c>
      <c r="K10" s="76"/>
    </row>
    <row r="11" spans="1:14" s="28" customFormat="1" x14ac:dyDescent="0.3">
      <c r="A11" s="144"/>
      <c r="B11" s="145"/>
      <c r="C11" s="21" t="s">
        <v>68</v>
      </c>
      <c r="D11" s="32">
        <f ca="1">SUMIFS('Practices captured_details'!$S:$S,'Practices captured_details'!$B:$B,"="&amp;D$29,INDIRECT("'Practices captured_details'!C"&amp;MATCH($B10,'Practices captured_details'!$6:$6,0),FALSE),"=Captured by reporting method")/SUMIFS('Practices captured_details'!$S:$S,'Practices captured_details'!$B:$B,"="&amp;D$29,INDIRECT("'Practices captured_details'!C"&amp;MATCH($B10,'Practices captured_details'!$6:$6,0),FALSE),"&lt;&gt;",INDIRECT("'Practices captured_details'!C"&amp;MATCH($B10,'Practices captured_details'!$6:$6,0),FALSE),"&lt;&gt;Unclear from NIR")</f>
        <v>0.15104624459345772</v>
      </c>
      <c r="E11" s="32">
        <f ca="1">SUMIFS('Practices captured_details'!$S:$S,'Practices captured_details'!$B:$B,"="&amp;E$29,INDIRECT("'Practices captured_details'!C"&amp;MATCH($B10,'Practices captured_details'!$6:$6,0),FALSE),"=Captured by reporting method")/SUMIFS('Practices captured_details'!$S:$S,'Practices captured_details'!$B:$B,"="&amp;E$29,INDIRECT("'Practices captured_details'!C"&amp;MATCH($B10,'Practices captured_details'!$6:$6,0),FALSE),"&lt;&gt;",INDIRECT("'Practices captured_details'!C"&amp;MATCH($B10,'Practices captured_details'!$6:$6,0),FALSE),"&lt;&gt;Unclear from NIR")</f>
        <v>0.22611407536171552</v>
      </c>
      <c r="F11" s="32"/>
      <c r="G11" s="76"/>
      <c r="H11" s="76" t="s">
        <v>11</v>
      </c>
      <c r="I11" s="31">
        <f ca="1">COUNTIFS('Practices captured_details'!$B:$B,"="&amp;I$29,INDIRECT("'Practices captured_details'!C"&amp;MATCH($H11,'Practices captured_details'!$6:$6,0),FALSE),"=Captured by reporting method")</f>
        <v>8</v>
      </c>
      <c r="J11" s="32">
        <f ca="1">SUMIFS('Practices captured_details'!$S:$S,'Practices captured_details'!$B:$B,"="&amp;J$29,INDIRECT("'Practices captured_details'!C"&amp;MATCH($H11,'Practices captured_details'!$6:$6,0),FALSE),"=Captured by reporting method")/SUMIFS('Practices captured_details'!$S:$S,'Practices captured_details'!$B:$B,"="&amp;J$29,INDIRECT("'Practices captured_details'!C"&amp;MATCH($H11,'Practices captured_details'!$6:$6,0),FALSE),"&lt;&gt;",INDIRECT("'Practices captured_details'!C"&amp;MATCH($H11,'Practices captured_details'!$6:$6,0),FALSE),"&lt;&gt;Unclear from NIR")</f>
        <v>0.4542519195982917</v>
      </c>
      <c r="K11" s="76"/>
    </row>
    <row r="12" spans="1:14" x14ac:dyDescent="0.3">
      <c r="A12" s="144"/>
      <c r="B12" s="147" t="s">
        <v>338</v>
      </c>
      <c r="C12" s="21" t="s">
        <v>67</v>
      </c>
      <c r="D12" s="31" t="str">
        <f ca="1">COUNTIFS('Practices captured_details'!$B:$B,"="&amp;D$29,INDIRECT("'Practices captured_details'!C"&amp;MATCH($B12,'Practices captured_details'!$6:$6,0),FALSE),"=Captured by reporting method")&amp;"/"&amp;COUNTIFS('Practices captured_details'!$B:$B,"="&amp;D$29,INDIRECT("'Practices captured_details'!C"&amp;MATCH($B12,'Practices captured_details'!$6:$6,0),FALSE),"&lt;&gt;",INDIRECT("'Practices captured_details'!C"&amp;MATCH($B12,'Practices captured_details'!$6:$6,0),FALSE),"&lt;&gt;Unclear from NIR")</f>
        <v>4/26</v>
      </c>
      <c r="E12" s="31" t="str">
        <f ca="1">COUNTIFS('Practices captured_details'!$B:$B,"="&amp;E$29,INDIRECT("'Practices captured_details'!C"&amp;MATCH($B12,'Practices captured_details'!$6:$6,0),FALSE),"=Captured by reporting method")&amp;"/"&amp;COUNTIFS('Practices captured_details'!$B:$B,"="&amp;E$29,INDIRECT("'Practices captured_details'!C"&amp;MATCH($B12,'Practices captured_details'!$6:$6,0),FALSE),"&lt;&gt;",INDIRECT("'Practices captured_details'!C"&amp;MATCH($B12,'Practices captured_details'!$6:$6,0),FALSE),"&lt;&gt;Unclear from NIR")</f>
        <v>3/26</v>
      </c>
      <c r="F12" s="31"/>
      <c r="G12" s="76"/>
      <c r="H12" s="76" t="s">
        <v>12</v>
      </c>
      <c r="I12" s="31">
        <f ca="1">COUNTIFS('Practices captured_details'!$B:$B,"="&amp;I$29,INDIRECT("'Practices captured_details'!C"&amp;MATCH($H12,'Practices captured_details'!$6:$6,0),FALSE),"=Captured by reporting method")</f>
        <v>5</v>
      </c>
      <c r="J12" s="32">
        <f ca="1">SUMIFS('Practices captured_details'!$S:$S,'Practices captured_details'!$B:$B,"="&amp;J$29,INDIRECT("'Practices captured_details'!C"&amp;MATCH($H12,'Practices captured_details'!$6:$6,0),FALSE),"=Captured by reporting method")/SUMIFS('Practices captured_details'!$S:$S,'Practices captured_details'!$B:$B,"="&amp;J$29,INDIRECT("'Practices captured_details'!C"&amp;MATCH($H12,'Practices captured_details'!$6:$6,0),FALSE),"&lt;&gt;",INDIRECT("'Practices captured_details'!C"&amp;MATCH($H12,'Practices captured_details'!$6:$6,0),FALSE),"&lt;&gt;Unclear from NIR")</f>
        <v>0.16920358249956843</v>
      </c>
      <c r="K12" s="76"/>
    </row>
    <row r="13" spans="1:14" s="28" customFormat="1" x14ac:dyDescent="0.3">
      <c r="A13" s="144"/>
      <c r="B13" s="147"/>
      <c r="C13" s="21" t="s">
        <v>68</v>
      </c>
      <c r="D13" s="32">
        <f ca="1">SUMIFS('Practices captured_details'!$S:$S,'Practices captured_details'!$B:$B,"="&amp;D$29,INDIRECT("'Practices captured_details'!C"&amp;MATCH($B12,'Practices captured_details'!$6:$6,0),FALSE),"=Captured by reporting method")/SUMIFS('Practices captured_details'!$S:$S,'Practices captured_details'!$B:$B,"="&amp;D$29,INDIRECT("'Practices captured_details'!C"&amp;MATCH($B12,'Practices captured_details'!$6:$6,0),FALSE),"&lt;&gt;",INDIRECT("'Practices captured_details'!C"&amp;MATCH($B12,'Practices captured_details'!$6:$6,0),FALSE),"&lt;&gt;Unclear from NIR")</f>
        <v>0.12109166698941592</v>
      </c>
      <c r="E13" s="32">
        <f ca="1">SUMIFS('Practices captured_details'!$S:$S,'Practices captured_details'!$B:$B,"="&amp;E$29,INDIRECT("'Practices captured_details'!C"&amp;MATCH($B12,'Practices captured_details'!$6:$6,0),FALSE),"=Captured by reporting method")/SUMIFS('Practices captured_details'!$S:$S,'Practices captured_details'!$B:$B,"="&amp;E$29,INDIRECT("'Practices captured_details'!C"&amp;MATCH($B12,'Practices captured_details'!$6:$6,0),FALSE),"&lt;&gt;",INDIRECT("'Practices captured_details'!C"&amp;MATCH($B12,'Practices captured_details'!$6:$6,0),FALSE),"&lt;&gt;Unclear from NIR")</f>
        <v>0.12989512021084867</v>
      </c>
      <c r="F13" s="32"/>
      <c r="G13" s="76"/>
      <c r="H13" s="76" t="s">
        <v>13</v>
      </c>
      <c r="I13" s="31">
        <f ca="1">COUNTIFS('Practices captured_details'!$B:$B,"="&amp;I$29,INDIRECT("'Practices captured_details'!C"&amp;MATCH($H13,'Practices captured_details'!$6:$6,0),FALSE),"=Captured by reporting method")</f>
        <v>4</v>
      </c>
      <c r="J13" s="32">
        <f ca="1">SUMIFS('Practices captured_details'!$S:$S,'Practices captured_details'!$B:$B,"="&amp;J$29,INDIRECT("'Practices captured_details'!C"&amp;MATCH($H13,'Practices captured_details'!$6:$6,0),FALSE),"=Captured by reporting method")/SUMIFS('Practices captured_details'!$S:$S,'Practices captured_details'!$B:$B,"="&amp;J$29,INDIRECT("'Practices captured_details'!C"&amp;MATCH($H13,'Practices captured_details'!$6:$6,0),FALSE),"&lt;&gt;",INDIRECT("'Practices captured_details'!C"&amp;MATCH($H13,'Practices captured_details'!$6:$6,0),FALSE),"&lt;&gt;Unclear from NIR")</f>
        <v>7.7503640293925605E-2</v>
      </c>
      <c r="K13" s="76"/>
    </row>
    <row r="14" spans="1:14" s="76" customFormat="1" ht="14.4" customHeight="1" x14ac:dyDescent="0.3">
      <c r="A14" s="144"/>
      <c r="B14" s="148" t="s">
        <v>340</v>
      </c>
      <c r="C14" s="21" t="s">
        <v>67</v>
      </c>
      <c r="D14" s="31" t="str">
        <f ca="1">COUNTIFS('Practices captured_details'!$B:$B,"="&amp;D$29,INDIRECT("'Practices captured_details'!C"&amp;MATCH($B14,'Practices captured_details'!$6:$6,0),FALSE),"=Captured by reporting method")&amp;"/"&amp;COUNTIFS('Practices captured_details'!$B:$B,"="&amp;D$29,INDIRECT("'Practices captured_details'!C"&amp;MATCH($B14,'Practices captured_details'!$6:$6,0),FALSE),"&lt;&gt;",INDIRECT("'Practices captured_details'!C"&amp;MATCH($B14,'Practices captured_details'!$6:$6,0),FALSE),"&lt;&gt;Unclear from NIR")</f>
        <v>7/26</v>
      </c>
      <c r="E14" s="31" t="str">
        <f ca="1">COUNTIFS('Practices captured_details'!$B:$B,"="&amp;E$29,INDIRECT("'Practices captured_details'!C"&amp;MATCH($B14,'Practices captured_details'!$6:$6,0),FALSE),"=Captured by reporting method")&amp;"/"&amp;COUNTIFS('Practices captured_details'!$B:$B,"="&amp;E$29,INDIRECT("'Practices captured_details'!C"&amp;MATCH($B14,'Practices captured_details'!$6:$6,0),FALSE),"&lt;&gt;",INDIRECT("'Practices captured_details'!C"&amp;MATCH($B14,'Practices captured_details'!$6:$6,0),FALSE),"&lt;&gt;Unclear from NIR")</f>
        <v>4/26</v>
      </c>
      <c r="F14" s="32"/>
      <c r="H14" t="s">
        <v>14</v>
      </c>
      <c r="I14" s="31">
        <f ca="1">COUNTIFS('Practices captured_details'!$B:$B,"="&amp;I$29,INDIRECT("'Practices captured_details'!C"&amp;MATCH($H14,'Practices captured_details'!$6:$6,0),FALSE),"=Captured by reporting method")</f>
        <v>4</v>
      </c>
      <c r="J14" s="32">
        <f ca="1">SUMIFS('Practices captured_details'!$S:$S,'Practices captured_details'!$B:$B,"="&amp;J$29,INDIRECT("'Practices captured_details'!C"&amp;MATCH($H14,'Practices captured_details'!$6:$6,0),FALSE),"=Captured by reporting method")/SUMIFS('Practices captured_details'!$S:$S,'Practices captured_details'!$B:$B,"="&amp;J$29,INDIRECT("'Practices captured_details'!C"&amp;MATCH($H14,'Practices captured_details'!$6:$6,0),FALSE),"&lt;&gt;",INDIRECT("'Practices captured_details'!C"&amp;MATCH($H14,'Practices captured_details'!$6:$6,0),FALSE),"&lt;&gt;Unclear from NIR")</f>
        <v>7.7503640293925605E-2</v>
      </c>
    </row>
    <row r="15" spans="1:14" s="76" customFormat="1" x14ac:dyDescent="0.3">
      <c r="A15" s="144"/>
      <c r="B15" s="148"/>
      <c r="C15" s="21" t="s">
        <v>68</v>
      </c>
      <c r="D15" s="32">
        <f ca="1">SUMIFS('Practices captured_details'!$S:$S,'Practices captured_details'!$B:$B,"="&amp;D$29,INDIRECT("'Practices captured_details'!C"&amp;MATCH($B14,'Practices captured_details'!$6:$6,0),FALSE),"=Captured by reporting method")/SUMIFS('Practices captured_details'!$S:$S,'Practices captured_details'!$B:$B,"="&amp;D$29,INDIRECT("'Practices captured_details'!C"&amp;MATCH($B14,'Practices captured_details'!$6:$6,0),FALSE),"&lt;&gt;",INDIRECT("'Practices captured_details'!C"&amp;MATCH($B14,'Practices captured_details'!$6:$6,0),FALSE),"&lt;&gt;Unclear from NIR")</f>
        <v>0.34713586421944903</v>
      </c>
      <c r="E15" s="32">
        <f ca="1">SUMIFS('Practices captured_details'!$S:$S,'Practices captured_details'!$B:$B,"="&amp;E$29,INDIRECT("'Practices captured_details'!C"&amp;MATCH($B14,'Practices captured_details'!$6:$6,0),FALSE),"=Captured by reporting method")/SUMIFS('Practices captured_details'!$S:$S,'Practices captured_details'!$B:$B,"="&amp;E$29,INDIRECT("'Practices captured_details'!C"&amp;MATCH($B14,'Practices captured_details'!$6:$6,0),FALSE),"&lt;&gt;",INDIRECT("'Practices captured_details'!C"&amp;MATCH($B14,'Practices captured_details'!$6:$6,0),FALSE),"&lt;&gt;Unclear from NIR")</f>
        <v>0.23089576203323334</v>
      </c>
      <c r="F15" s="32"/>
      <c r="H15" s="28" t="s">
        <v>15</v>
      </c>
      <c r="I15" s="31">
        <f ca="1">COUNTIFS('Practices captured_details'!$B:$B,"="&amp;I$29,INDIRECT("'Practices captured_details'!C"&amp;MATCH($H15,'Practices captured_details'!$6:$6,0),FALSE),"=Captured by reporting method")</f>
        <v>4</v>
      </c>
      <c r="J15" s="32">
        <f ca="1">SUMIFS('Practices captured_details'!$S:$S,'Practices captured_details'!$B:$B,"="&amp;J$29,INDIRECT("'Practices captured_details'!C"&amp;MATCH($H15,'Practices captured_details'!$6:$6,0),FALSE),"=Captured by reporting method")/SUMIFS('Practices captured_details'!$S:$S,'Practices captured_details'!$B:$B,"="&amp;J$29,INDIRECT("'Practices captured_details'!C"&amp;MATCH($H15,'Practices captured_details'!$6:$6,0),FALSE),"&lt;&gt;",INDIRECT("'Practices captured_details'!C"&amp;MATCH($H15,'Practices captured_details'!$6:$6,0),FALSE),"&lt;&gt;Unclear from NIR")</f>
        <v>7.7503640293925605E-2</v>
      </c>
    </row>
    <row r="16" spans="1:14" s="76" customFormat="1" x14ac:dyDescent="0.3">
      <c r="A16" s="144"/>
      <c r="B16" s="145" t="s">
        <v>341</v>
      </c>
      <c r="C16" s="21" t="s">
        <v>67</v>
      </c>
      <c r="D16" s="31" t="str">
        <f ca="1">COUNTIFS('Practices captured_details'!$B:$B,"="&amp;D$29,INDIRECT("'Practices captured_details'!C"&amp;MATCH($B16,'Practices captured_details'!$6:$6,0),FALSE),"=Captured by reporting method")&amp;"/"&amp;COUNTIFS('Practices captured_details'!$B:$B,"="&amp;D$29,INDIRECT("'Practices captured_details'!C"&amp;MATCH($B16,'Practices captured_details'!$6:$6,0),FALSE),"&lt;&gt;",INDIRECT("'Practices captured_details'!C"&amp;MATCH($B16,'Practices captured_details'!$6:$6,0),FALSE),"&lt;&gt;Unclear from NIR")</f>
        <v>16/25</v>
      </c>
      <c r="E16" s="31"/>
      <c r="F16" s="32"/>
    </row>
    <row r="17" spans="1:14" s="76" customFormat="1" x14ac:dyDescent="0.3">
      <c r="A17" s="144"/>
      <c r="B17" s="145"/>
      <c r="C17" s="21" t="s">
        <v>68</v>
      </c>
      <c r="D17" s="32">
        <f ca="1">SUMIFS('Practices captured_details'!$S:$S,'Practices captured_details'!$B:$B,"="&amp;D$29,INDIRECT("'Practices captured_details'!C"&amp;MATCH($B16,'Practices captured_details'!$6:$6,0),FALSE),"=Captured by reporting method")/SUMIFS('Practices captured_details'!$S:$S,'Practices captured_details'!$B:$B,"="&amp;D$29,INDIRECT("'Practices captured_details'!C"&amp;MATCH($B16,'Practices captured_details'!$6:$6,0),FALSE),"&lt;&gt;",INDIRECT("'Practices captured_details'!C"&amp;MATCH($B16,'Practices captured_details'!$6:$6,0),FALSE),"&lt;&gt;Unclear from NIR")</f>
        <v>0.6338424687664207</v>
      </c>
      <c r="E17" s="32"/>
      <c r="F17" s="32"/>
    </row>
    <row r="18" spans="1:14" s="76" customFormat="1" x14ac:dyDescent="0.3">
      <c r="A18" s="144"/>
      <c r="B18" s="145" t="s">
        <v>11</v>
      </c>
      <c r="C18" s="21" t="s">
        <v>67</v>
      </c>
      <c r="D18" s="31" t="str">
        <f ca="1">COUNTIFS('Practices captured_details'!$B:$B,"="&amp;D$29,INDIRECT("'Practices captured_details'!C"&amp;MATCH($B18,'Practices captured_details'!$6:$6,0),FALSE),"=Captured by reporting method")&amp;"/"&amp;COUNTIFS('Practices captured_details'!$B:$B,"="&amp;D$29,INDIRECT("'Practices captured_details'!C"&amp;MATCH($B18,'Practices captured_details'!$6:$6,0),FALSE),"&lt;&gt;",INDIRECT("'Practices captured_details'!C"&amp;MATCH($B18,'Practices captured_details'!$6:$6,0),FALSE),"&lt;&gt;Unclear from NIR")</f>
        <v>8/27</v>
      </c>
      <c r="E18" s="32"/>
      <c r="F18" s="32"/>
    </row>
    <row r="19" spans="1:14" s="76" customFormat="1" x14ac:dyDescent="0.3">
      <c r="A19" s="144"/>
      <c r="B19" s="145"/>
      <c r="C19" s="21" t="s">
        <v>68</v>
      </c>
      <c r="D19" s="32">
        <f ca="1">SUMIFS('Practices captured_details'!$S:$S,'Practices captured_details'!$B:$B,"="&amp;D$29,INDIRECT("'Practices captured_details'!C"&amp;MATCH($B18,'Practices captured_details'!$6:$6,0),FALSE),"=Captured by reporting method")/SUMIFS('Practices captured_details'!$S:$S,'Practices captured_details'!$B:$B,"="&amp;D$29,INDIRECT("'Practices captured_details'!C"&amp;MATCH($B18,'Practices captured_details'!$6:$6,0),FALSE),"&lt;&gt;",INDIRECT("'Practices captured_details'!C"&amp;MATCH($B18,'Practices captured_details'!$6:$6,0),FALSE),"&lt;&gt;Unclear from NIR")</f>
        <v>0.4542519195982917</v>
      </c>
      <c r="E19" s="32"/>
      <c r="F19" s="32"/>
    </row>
    <row r="20" spans="1:14" ht="14.4" customHeight="1" x14ac:dyDescent="0.3">
      <c r="A20" s="144"/>
      <c r="B20" s="145" t="s">
        <v>12</v>
      </c>
      <c r="C20" s="21" t="s">
        <v>67</v>
      </c>
      <c r="D20" s="31" t="str">
        <f ca="1">COUNTIFS('Practices captured_details'!$B:$B,"="&amp;D$29,INDIRECT("'Practices captured_details'!C"&amp;MATCH($B20,'Practices captured_details'!$6:$6,0),FALSE),"=Captured by reporting method")&amp;"/"&amp;COUNTIFS('Practices captured_details'!$B:$B,"="&amp;D$29,INDIRECT("'Practices captured_details'!C"&amp;MATCH($B20,'Practices captured_details'!$6:$6,0),FALSE),"&lt;&gt;",INDIRECT("'Practices captured_details'!C"&amp;MATCH($B20,'Practices captured_details'!$6:$6,0),FALSE),"&lt;&gt;Unclear from NIR")</f>
        <v>5/27</v>
      </c>
      <c r="E20" s="31" t="str">
        <f ca="1">COUNTIFS('Practices captured_details'!$B:$B,"="&amp;E$29,INDIRECT("'Practices captured_details'!C"&amp;MATCH($B20,'Practices captured_details'!$6:$6,0),FALSE),"=Captured by reporting method")&amp;"/"&amp;COUNTIFS('Practices captured_details'!$B:$B,"="&amp;E$29,INDIRECT("'Practices captured_details'!C"&amp;MATCH($B20,'Practices captured_details'!$6:$6,0),FALSE),"&lt;&gt;",INDIRECT("'Practices captured_details'!C"&amp;MATCH($B20,'Practices captured_details'!$6:$6,0),FALSE),"&lt;&gt;Unclear from NIR")</f>
        <v>5/27</v>
      </c>
      <c r="F20" s="31"/>
      <c r="G20" s="76"/>
      <c r="I20" s="76"/>
      <c r="J20" s="76"/>
      <c r="K20" s="76"/>
    </row>
    <row r="21" spans="1:14" s="28" customFormat="1" x14ac:dyDescent="0.3">
      <c r="A21" s="144"/>
      <c r="B21" s="145"/>
      <c r="C21" s="21" t="s">
        <v>68</v>
      </c>
      <c r="D21" s="32">
        <f ca="1">SUMIFS('Practices captured_details'!$S:$S,'Practices captured_details'!$B:$B,"="&amp;D$29,INDIRECT("'Practices captured_details'!C"&amp;MATCH($B20,'Practices captured_details'!$6:$6,0),FALSE),"=Captured by reporting method")/SUMIFS('Practices captured_details'!$S:$S,'Practices captured_details'!$B:$B,"="&amp;D$29,INDIRECT("'Practices captured_details'!C"&amp;MATCH($B20,'Practices captured_details'!$6:$6,0),FALSE),"&lt;&gt;",INDIRECT("'Practices captured_details'!C"&amp;MATCH($B20,'Practices captured_details'!$6:$6,0),FALSE),"&lt;&gt;Unclear from NIR")</f>
        <v>0.16920358249956843</v>
      </c>
      <c r="E21" s="32">
        <f ca="1">SUMIFS('Practices captured_details'!$S:$S,'Practices captured_details'!$B:$B,"="&amp;E$29,INDIRECT("'Practices captured_details'!C"&amp;MATCH($B20,'Practices captured_details'!$6:$6,0),FALSE),"=Captured by reporting method")/SUMIFS('Practices captured_details'!$S:$S,'Practices captured_details'!$B:$B,"="&amp;E$29,INDIRECT("'Practices captured_details'!C"&amp;MATCH($B20,'Practices captured_details'!$6:$6,0),FALSE),"&lt;&gt;",INDIRECT("'Practices captured_details'!C"&amp;MATCH($B20,'Practices captured_details'!$6:$6,0),FALSE),"&lt;&gt;Unclear from NIR")</f>
        <v>0.16832200527399843</v>
      </c>
      <c r="F21" s="32"/>
      <c r="G21" s="76"/>
      <c r="H21" s="76"/>
      <c r="I21" s="76"/>
      <c r="J21" s="76"/>
      <c r="K21" s="76"/>
    </row>
    <row r="22" spans="1:14" x14ac:dyDescent="0.3">
      <c r="A22" s="146" t="s">
        <v>1</v>
      </c>
      <c r="B22" s="145" t="s">
        <v>13</v>
      </c>
      <c r="C22" s="21" t="s">
        <v>67</v>
      </c>
      <c r="D22" s="31" t="str">
        <f ca="1">COUNTIFS('Practices captured_details'!$B:$B,"="&amp;D$29,INDIRECT("'Practices captured_details'!C"&amp;MATCH($B22,'Practices captured_details'!$6:$6,0),FALSE),"=Captured by reporting method")&amp;"/"&amp;COUNTIFS('Practices captured_details'!$B:$B,"="&amp;D$29,INDIRECT("'Practices captured_details'!C"&amp;MATCH($B22,'Practices captured_details'!$6:$6,0),FALSE),"&lt;&gt;",INDIRECT("'Practices captured_details'!C"&amp;MATCH($B22,'Practices captured_details'!$6:$6,0),FALSE),"&lt;&gt;Unclear from NIR")</f>
        <v>4/27</v>
      </c>
      <c r="E22" s="31" t="str">
        <f ca="1">COUNTIFS('Practices captured_details'!$B:$B,"="&amp;E$29,INDIRECT("'Practices captured_details'!C"&amp;MATCH($B22,'Practices captured_details'!$6:$6,0),FALSE),"=Captured by reporting method")&amp;"/"&amp;COUNTIFS('Practices captured_details'!$B:$B,"="&amp;E$29,INDIRECT("'Practices captured_details'!C"&amp;MATCH($B22,'Practices captured_details'!$6:$6,0),FALSE),"&lt;&gt;",INDIRECT("'Practices captured_details'!C"&amp;MATCH($B22,'Practices captured_details'!$6:$6,0),FALSE),"&lt;&gt;Unclear from NIR")</f>
        <v>4/27</v>
      </c>
      <c r="F22" s="31" t="str">
        <f ca="1">COUNTIFS('Practices captured_details'!$B:$B,"="&amp;F$29,INDIRECT("'Practices captured_details'!C"&amp;MATCH($B22,'Practices captured_details'!$6:$6,0),FALSE),"=Captured by reporting method")&amp;"/"&amp;COUNTIFS('Practices captured_details'!$B:$B,"="&amp;F$29,INDIRECT("'Practices captured_details'!C"&amp;MATCH($B22,'Practices captured_details'!$6:$6,0),FALSE),"&lt;&gt;",INDIRECT("'Practices captured_details'!C"&amp;MATCH($B22,'Practices captured_details'!$6:$6,0),FALSE),"&lt;&gt;Unclear from NIR")</f>
        <v>5/27</v>
      </c>
      <c r="G22" s="76"/>
      <c r="I22" s="76"/>
      <c r="J22" s="76"/>
      <c r="K22" s="76"/>
    </row>
    <row r="23" spans="1:14" s="28" customFormat="1" x14ac:dyDescent="0.3">
      <c r="A23" s="146"/>
      <c r="B23" s="145"/>
      <c r="C23" s="21" t="s">
        <v>68</v>
      </c>
      <c r="D23" s="32">
        <f ca="1">SUMIFS('Practices captured_details'!$S:$S,'Practices captured_details'!$B:$B,"="&amp;D$29,INDIRECT("'Practices captured_details'!C"&amp;MATCH($B22,'Practices captured_details'!$6:$6,0),FALSE),"=Captured by reporting method")/SUMIFS('Practices captured_details'!$S:$S,'Practices captured_details'!$B:$B,"="&amp;D$29,INDIRECT("'Practices captured_details'!C"&amp;MATCH($B22,'Practices captured_details'!$6:$6,0),FALSE),"&lt;&gt;",INDIRECT("'Practices captured_details'!C"&amp;MATCH($B22,'Practices captured_details'!$6:$6,0),FALSE),"&lt;&gt;Unclear from NIR")</f>
        <v>7.7503640293925605E-2</v>
      </c>
      <c r="E23" s="32">
        <f ca="1">SUMIFS('Practices captured_details'!$S:$S,'Practices captured_details'!$B:$B,"="&amp;E$29,INDIRECT("'Practices captured_details'!C"&amp;MATCH($B22,'Practices captured_details'!$6:$6,0),FALSE),"=Captured by reporting method")/SUMIFS('Practices captured_details'!$S:$S,'Practices captured_details'!$B:$B,"="&amp;E$29,INDIRECT("'Practices captured_details'!C"&amp;MATCH($B22,'Practices captured_details'!$6:$6,0),FALSE),"&lt;&gt;",INDIRECT("'Practices captured_details'!C"&amp;MATCH($B22,'Practices captured_details'!$6:$6,0),FALSE),"&lt;&gt;Unclear from NIR")</f>
        <v>0.22655576191738047</v>
      </c>
      <c r="F23" s="32">
        <f ca="1">SUMIFS('Practices captured_details'!$S:$S,'Practices captured_details'!$B:$B,"="&amp;F$29,INDIRECT("'Practices captured_details'!C"&amp;MATCH($B22,'Practices captured_details'!$6:$6,0),FALSE),"=Captured by reporting method")/SUMIFS('Practices captured_details'!$S:$S,'Practices captured_details'!$B:$B,"="&amp;F$29,INDIRECT("'Practices captured_details'!C"&amp;MATCH($B22,'Practices captured_details'!$6:$6,0),FALSE),"&lt;&gt;",INDIRECT("'Practices captured_details'!C"&amp;MATCH($B22,'Practices captured_details'!$6:$6,0),FALSE),"&lt;&gt;Unclear from NIR")</f>
        <v>0.38282792594345055</v>
      </c>
      <c r="G23" s="76"/>
      <c r="H23" s="76"/>
      <c r="I23" s="76"/>
      <c r="J23" s="76"/>
      <c r="K23" s="76"/>
    </row>
    <row r="24" spans="1:14" x14ac:dyDescent="0.3">
      <c r="A24" s="146"/>
      <c r="B24" s="145" t="s">
        <v>14</v>
      </c>
      <c r="C24" s="21" t="s">
        <v>67</v>
      </c>
      <c r="D24" s="31" t="str">
        <f ca="1">COUNTIFS('Practices captured_details'!$B:$B,"="&amp;D$29,INDIRECT("'Practices captured_details'!C"&amp;MATCH($B24,'Practices captured_details'!$6:$6,0),FALSE),"=Captured by reporting method")&amp;"/"&amp;COUNTIFS('Practices captured_details'!$B:$B,"="&amp;D$29,INDIRECT("'Practices captured_details'!C"&amp;MATCH($B24,'Practices captured_details'!$6:$6,0),FALSE),"&lt;&gt;",INDIRECT("'Practices captured_details'!C"&amp;MATCH($B24,'Practices captured_details'!$6:$6,0),FALSE),"&lt;&gt;Unclear from NIR")</f>
        <v>4/27</v>
      </c>
      <c r="E24" s="31" t="str">
        <f ca="1">COUNTIFS('Practices captured_details'!$B:$B,"="&amp;E$29,INDIRECT("'Practices captured_details'!C"&amp;MATCH($B24,'Practices captured_details'!$6:$6,0),FALSE),"=Captured by reporting method")&amp;"/"&amp;COUNTIFS('Practices captured_details'!$B:$B,"="&amp;E$29,INDIRECT("'Practices captured_details'!C"&amp;MATCH($B24,'Practices captured_details'!$6:$6,0),FALSE),"&lt;&gt;",INDIRECT("'Practices captured_details'!C"&amp;MATCH($B24,'Practices captured_details'!$6:$6,0),FALSE),"&lt;&gt;Unclear from NIR")</f>
        <v>3/27</v>
      </c>
      <c r="F24" s="31" t="str">
        <f ca="1">COUNTIFS('Practices captured_details'!$B:$B,"="&amp;F$29,INDIRECT("'Practices captured_details'!C"&amp;MATCH($B24,'Practices captured_details'!$6:$6,0),FALSE),"=Captured by reporting method")&amp;"/"&amp;COUNTIFS('Practices captured_details'!$B:$B,"="&amp;F$29,INDIRECT("'Practices captured_details'!C"&amp;MATCH($B24,'Practices captured_details'!$6:$6,0),FALSE),"&lt;&gt;",INDIRECT("'Practices captured_details'!C"&amp;MATCH($B24,'Practices captured_details'!$6:$6,0),FALSE),"&lt;&gt;Unclear from NIR")</f>
        <v>5/27</v>
      </c>
    </row>
    <row r="25" spans="1:14" s="28" customFormat="1" x14ac:dyDescent="0.3">
      <c r="A25" s="146"/>
      <c r="B25" s="145"/>
      <c r="C25" s="21" t="s">
        <v>68</v>
      </c>
      <c r="D25" s="32">
        <f ca="1">SUMIFS('Practices captured_details'!$S:$S,'Practices captured_details'!$B:$B,"="&amp;D$29,INDIRECT("'Practices captured_details'!C"&amp;MATCH($B24,'Practices captured_details'!$6:$6,0),FALSE),"=Captured by reporting method")/SUMIFS('Practices captured_details'!$S:$S,'Practices captured_details'!$B:$B,"="&amp;D$29,INDIRECT("'Practices captured_details'!C"&amp;MATCH($B24,'Practices captured_details'!$6:$6,0),FALSE),"&lt;&gt;",INDIRECT("'Practices captured_details'!C"&amp;MATCH($B24,'Practices captured_details'!$6:$6,0),FALSE),"&lt;&gt;Unclear from NIR")</f>
        <v>7.7503640293925605E-2</v>
      </c>
      <c r="E25" s="32">
        <f ca="1">SUMIFS('Practices captured_details'!$S:$S,'Practices captured_details'!$B:$B,"="&amp;E$29,INDIRECT("'Practices captured_details'!C"&amp;MATCH($B24,'Practices captured_details'!$6:$6,0),FALSE),"=Captured by reporting method")/SUMIFS('Practices captured_details'!$S:$S,'Practices captured_details'!$B:$B,"="&amp;E$29,INDIRECT("'Practices captured_details'!C"&amp;MATCH($B24,'Practices captured_details'!$6:$6,0),FALSE),"&lt;&gt;",INDIRECT("'Practices captured_details'!C"&amp;MATCH($B24,'Practices captured_details'!$6:$6,0),FALSE),"&lt;&gt;Unclear from NIR")</f>
        <v>1.9598278095622972E-2</v>
      </c>
      <c r="F25" s="32">
        <f ca="1">SUMIFS('Practices captured_details'!$S:$S,'Practices captured_details'!$B:$B,"="&amp;F$29,INDIRECT("'Practices captured_details'!C"&amp;MATCH($B24,'Practices captured_details'!$6:$6,0),FALSE),"=Captured by reporting method")/SUMIFS('Practices captured_details'!$S:$S,'Practices captured_details'!$B:$B,"="&amp;F$29,INDIRECT("'Practices captured_details'!C"&amp;MATCH($B24,'Practices captured_details'!$6:$6,0),FALSE),"&lt;&gt;",INDIRECT("'Practices captured_details'!C"&amp;MATCH($B24,'Practices captured_details'!$6:$6,0),FALSE),"&lt;&gt;Unclear from NIR")</f>
        <v>0.38282792594345055</v>
      </c>
    </row>
    <row r="26" spans="1:14" s="28" customFormat="1" x14ac:dyDescent="0.3">
      <c r="A26" s="146"/>
      <c r="B26" s="145" t="s">
        <v>15</v>
      </c>
      <c r="C26" s="21" t="s">
        <v>67</v>
      </c>
      <c r="D26" s="31" t="str">
        <f ca="1">COUNTIFS('Practices captured_details'!$B:$B,"="&amp;D$29,INDIRECT("'Practices captured_details'!C"&amp;MATCH($B26,'Practices captured_details'!$6:$6,0),FALSE),"=Captured by reporting method")&amp;"/"&amp;COUNTIFS('Practices captured_details'!$B:$B,"="&amp;D$29,INDIRECT("'Practices captured_details'!C"&amp;MATCH($B26,'Practices captured_details'!$6:$6,0),FALSE),"&lt;&gt;",INDIRECT("'Practices captured_details'!C"&amp;MATCH($B26,'Practices captured_details'!$6:$6,0),FALSE),"&lt;&gt;Unclear from NIR")</f>
        <v>4/27</v>
      </c>
      <c r="E26" s="31" t="str">
        <f ca="1">COUNTIFS('Practices captured_details'!$B:$B,"="&amp;E$29,INDIRECT("'Practices captured_details'!C"&amp;MATCH($B26,'Practices captured_details'!$6:$6,0),FALSE),"=Captured by reporting method")&amp;"/"&amp;COUNTIFS('Practices captured_details'!$B:$B,"="&amp;E$29,INDIRECT("'Practices captured_details'!C"&amp;MATCH($B26,'Practices captured_details'!$6:$6,0),FALSE),"&lt;&gt;",INDIRECT("'Practices captured_details'!C"&amp;MATCH($B26,'Practices captured_details'!$6:$6,0),FALSE),"&lt;&gt;Unclear from NIR")</f>
        <v>3/27</v>
      </c>
      <c r="F26" s="31" t="str">
        <f ca="1">COUNTIFS('Practices captured_details'!$B:$B,"="&amp;F$29,INDIRECT("'Practices captured_details'!C"&amp;MATCH($B26,'Practices captured_details'!$6:$6,0),FALSE),"=Captured by reporting method")&amp;"/"&amp;COUNTIFS('Practices captured_details'!$B:$B,"="&amp;F$29,INDIRECT("'Practices captured_details'!C"&amp;MATCH($B26,'Practices captured_details'!$6:$6,0),FALSE),"&lt;&gt;",INDIRECT("'Practices captured_details'!C"&amp;MATCH($B26,'Practices captured_details'!$6:$6,0),FALSE),"&lt;&gt;Unclear from NIR")</f>
        <v>5/27</v>
      </c>
    </row>
    <row r="27" spans="1:14" x14ac:dyDescent="0.3">
      <c r="A27" s="146"/>
      <c r="B27" s="145"/>
      <c r="C27" s="21" t="s">
        <v>68</v>
      </c>
      <c r="D27" s="32">
        <f ca="1">SUMIFS('Practices captured_details'!$S:$S,'Practices captured_details'!$B:$B,"="&amp;D$29,INDIRECT("'Practices captured_details'!C"&amp;MATCH($B26,'Practices captured_details'!$6:$6,0),FALSE),"=Captured by reporting method")/SUMIFS('Practices captured_details'!$S:$S,'Practices captured_details'!$B:$B,"="&amp;D$29,INDIRECT("'Practices captured_details'!C"&amp;MATCH($B26,'Practices captured_details'!$6:$6,0),FALSE),"&lt;&gt;",INDIRECT("'Practices captured_details'!C"&amp;MATCH($B26,'Practices captured_details'!$6:$6,0),FALSE),"&lt;&gt;Unclear from NIR")</f>
        <v>7.7503640293925605E-2</v>
      </c>
      <c r="E27" s="32">
        <f ca="1">SUMIFS('Practices captured_details'!$S:$S,'Practices captured_details'!$B:$B,"="&amp;E$29,INDIRECT("'Practices captured_details'!C"&amp;MATCH($B26,'Practices captured_details'!$6:$6,0),FALSE),"=Captured by reporting method")/SUMIFS('Practices captured_details'!$S:$S,'Practices captured_details'!$B:$B,"="&amp;E$29,INDIRECT("'Practices captured_details'!C"&amp;MATCH($B26,'Practices captured_details'!$6:$6,0),FALSE),"&lt;&gt;",INDIRECT("'Practices captured_details'!C"&amp;MATCH($B26,'Practices captured_details'!$6:$6,0),FALSE),"&lt;&gt;Unclear from NIR")</f>
        <v>1.9598278095622972E-2</v>
      </c>
      <c r="F27" s="32">
        <f ca="1">SUMIFS('Practices captured_details'!$S:$S,'Practices captured_details'!$B:$B,"="&amp;F$29,INDIRECT("'Practices captured_details'!C"&amp;MATCH($B26,'Practices captured_details'!$6:$6,0),FALSE),"=Captured by reporting method")/SUMIFS('Practices captured_details'!$S:$S,'Practices captured_details'!$B:$B,"="&amp;F$29,INDIRECT("'Practices captured_details'!C"&amp;MATCH($B26,'Practices captured_details'!$6:$6,0),FALSE),"&lt;&gt;",INDIRECT("'Practices captured_details'!C"&amp;MATCH($B26,'Practices captured_details'!$6:$6,0),FALSE),"&lt;&gt;Unclear from NIR")</f>
        <v>0.38282792594345055</v>
      </c>
    </row>
    <row r="28" spans="1:14" s="28" customFormat="1" ht="20.7" customHeight="1" x14ac:dyDescent="0.3">
      <c r="A28" s="82"/>
      <c r="B28" s="31"/>
      <c r="C28" s="76"/>
      <c r="D28" s="76"/>
      <c r="E28" s="76"/>
      <c r="F28" s="76"/>
    </row>
    <row r="29" spans="1:14" x14ac:dyDescent="0.3">
      <c r="A29" s="76"/>
      <c r="B29" s="76"/>
      <c r="C29" s="76"/>
      <c r="D29" s="76" t="s">
        <v>18</v>
      </c>
      <c r="E29" s="76" t="s">
        <v>22</v>
      </c>
      <c r="F29" s="76" t="s">
        <v>24</v>
      </c>
      <c r="I29" s="76" t="s">
        <v>18</v>
      </c>
      <c r="J29" s="76" t="s">
        <v>18</v>
      </c>
      <c r="K29" s="76" t="s">
        <v>22</v>
      </c>
      <c r="L29" s="76" t="s">
        <v>22</v>
      </c>
      <c r="M29" s="76" t="s">
        <v>24</v>
      </c>
      <c r="N29" s="76" t="s">
        <v>24</v>
      </c>
    </row>
  </sheetData>
  <mergeCells count="14">
    <mergeCell ref="A4:A21"/>
    <mergeCell ref="B20:B21"/>
    <mergeCell ref="B22:B23"/>
    <mergeCell ref="B24:B25"/>
    <mergeCell ref="B26:B27"/>
    <mergeCell ref="A22:A27"/>
    <mergeCell ref="B4:B5"/>
    <mergeCell ref="B6:B7"/>
    <mergeCell ref="B8:B9"/>
    <mergeCell ref="B10:B11"/>
    <mergeCell ref="B18:B19"/>
    <mergeCell ref="B12:B13"/>
    <mergeCell ref="B14:B15"/>
    <mergeCell ref="B16:B17"/>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showGridLines="0" topLeftCell="M4" workbookViewId="0">
      <selection activeCell="R28" sqref="R28"/>
    </sheetView>
  </sheetViews>
  <sheetFormatPr baseColWidth="10" defaultColWidth="11.44140625" defaultRowHeight="14.4" x14ac:dyDescent="0.3"/>
  <cols>
    <col min="1" max="1" width="23.33203125" bestFit="1" customWidth="1"/>
    <col min="4" max="5" width="11.44140625" style="76"/>
    <col min="6" max="6" width="3.6640625" style="30" customWidth="1"/>
    <col min="7" max="7" width="35.6640625" bestFit="1" customWidth="1"/>
    <col min="13" max="13" width="2.44140625" customWidth="1"/>
    <col min="14" max="16" width="11.88671875" style="76" customWidth="1"/>
    <col min="19" max="19" width="11.5546875" style="28"/>
    <col min="22" max="22" width="21.33203125" bestFit="1" customWidth="1"/>
    <col min="23" max="23" width="16.5546875" bestFit="1" customWidth="1"/>
    <col min="24" max="24" width="10.88671875" customWidth="1"/>
    <col min="25" max="25" width="12" style="76" customWidth="1"/>
    <col min="27" max="27" width="15.5546875" customWidth="1"/>
    <col min="28" max="28" width="9" customWidth="1"/>
    <col min="29" max="29" width="9.88671875" customWidth="1"/>
  </cols>
  <sheetData>
    <row r="1" spans="1:29" ht="15" thickBot="1" x14ac:dyDescent="0.35">
      <c r="A1" s="76"/>
      <c r="B1" s="76"/>
      <c r="C1" s="76"/>
      <c r="G1" s="76"/>
      <c r="H1" s="76"/>
      <c r="I1" s="76"/>
      <c r="J1" s="76"/>
      <c r="K1" s="76"/>
      <c r="L1" s="76"/>
      <c r="M1" s="76"/>
      <c r="N1" s="76" t="s">
        <v>34</v>
      </c>
      <c r="O1" s="76" t="s">
        <v>72</v>
      </c>
      <c r="P1" s="76" t="s">
        <v>72</v>
      </c>
      <c r="Q1" s="76" t="s">
        <v>34</v>
      </c>
      <c r="R1" s="76" t="s">
        <v>72</v>
      </c>
      <c r="S1" s="76" t="s">
        <v>72</v>
      </c>
      <c r="T1" s="76" t="s">
        <v>72</v>
      </c>
      <c r="U1" s="76"/>
      <c r="V1" s="76"/>
      <c r="W1" s="76"/>
      <c r="X1" s="76"/>
      <c r="Z1" s="76"/>
      <c r="AA1" s="76"/>
    </row>
    <row r="2" spans="1:29" ht="60" x14ac:dyDescent="0.3">
      <c r="A2" s="76" t="s">
        <v>73</v>
      </c>
      <c r="B2" s="76" t="s">
        <v>74</v>
      </c>
      <c r="C2" s="76" t="s">
        <v>75</v>
      </c>
      <c r="D2" s="76" t="s">
        <v>347</v>
      </c>
      <c r="E2" s="76" t="s">
        <v>346</v>
      </c>
      <c r="G2" s="155" t="s">
        <v>77</v>
      </c>
      <c r="H2" s="33" t="s">
        <v>78</v>
      </c>
      <c r="I2" s="33" t="s">
        <v>79</v>
      </c>
      <c r="J2" s="33" t="s">
        <v>80</v>
      </c>
      <c r="K2" s="33" t="s">
        <v>81</v>
      </c>
      <c r="L2" s="33" t="s">
        <v>82</v>
      </c>
      <c r="M2" s="76"/>
      <c r="N2" s="46" t="s">
        <v>83</v>
      </c>
      <c r="O2" s="46" t="s">
        <v>83</v>
      </c>
      <c r="P2" s="46" t="s">
        <v>84</v>
      </c>
      <c r="Q2" s="46" t="s">
        <v>83</v>
      </c>
      <c r="R2" s="46" t="s">
        <v>83</v>
      </c>
      <c r="S2" s="46" t="s">
        <v>84</v>
      </c>
      <c r="T2" s="46" t="s">
        <v>85</v>
      </c>
      <c r="U2" s="76"/>
      <c r="V2" s="76"/>
      <c r="W2" s="76"/>
      <c r="X2" s="76"/>
      <c r="Z2" s="76"/>
      <c r="AA2" s="76"/>
    </row>
    <row r="3" spans="1:29" x14ac:dyDescent="0.3">
      <c r="A3" s="76" t="s">
        <v>18</v>
      </c>
      <c r="B3" s="22">
        <f ca="1">INDIRECT("Area_"&amp;A3&amp;"!B18",TRUE)-INDIRECT("Area_"&amp;A3&amp;"!B50",TRUE)</f>
        <v>109856.04</v>
      </c>
      <c r="C3" s="76">
        <v>0.17</v>
      </c>
      <c r="D3" s="76">
        <v>0.5</v>
      </c>
      <c r="E3" s="76">
        <v>-0.16</v>
      </c>
      <c r="G3" s="156"/>
      <c r="H3" s="34" t="s">
        <v>86</v>
      </c>
      <c r="I3" s="34" t="s">
        <v>87</v>
      </c>
      <c r="J3" s="34" t="s">
        <v>88</v>
      </c>
      <c r="K3" s="34" t="s">
        <v>89</v>
      </c>
      <c r="L3" s="34" t="s">
        <v>90</v>
      </c>
      <c r="M3" s="76"/>
      <c r="N3" s="34" t="s">
        <v>87</v>
      </c>
      <c r="O3" s="34" t="s">
        <v>87</v>
      </c>
      <c r="P3" s="34"/>
      <c r="Q3" s="34" t="s">
        <v>89</v>
      </c>
      <c r="R3" s="34" t="s">
        <v>89</v>
      </c>
      <c r="S3" s="48"/>
      <c r="T3" s="76"/>
      <c r="U3" s="76"/>
      <c r="V3" s="76"/>
      <c r="W3" s="76"/>
      <c r="X3" s="76"/>
      <c r="Z3" s="76"/>
      <c r="AA3" s="76"/>
    </row>
    <row r="4" spans="1:29" ht="15" thickBot="1" x14ac:dyDescent="0.35">
      <c r="A4" s="76" t="s">
        <v>24</v>
      </c>
      <c r="B4" s="22">
        <f ca="1">INDIRECT("Area_"&amp;A4&amp;"!B18",TRUE)-INDIRECT("Area_"&amp;A4&amp;"!B50",TRUE)</f>
        <v>144491.49543534534</v>
      </c>
      <c r="C4" s="76">
        <v>-0.17</v>
      </c>
      <c r="D4" s="76">
        <v>0</v>
      </c>
      <c r="E4" s="76">
        <v>-0.41</v>
      </c>
      <c r="G4" s="157"/>
      <c r="H4" s="35"/>
      <c r="I4" s="36" t="s">
        <v>91</v>
      </c>
      <c r="J4" s="36" t="s">
        <v>92</v>
      </c>
      <c r="K4" s="36" t="s">
        <v>93</v>
      </c>
      <c r="L4" s="35"/>
      <c r="M4" s="76"/>
      <c r="Q4" s="76"/>
      <c r="R4" s="76"/>
      <c r="S4" s="76"/>
      <c r="T4" s="76"/>
      <c r="U4" s="76"/>
      <c r="V4" s="95"/>
      <c r="W4" s="88" t="s">
        <v>97</v>
      </c>
      <c r="X4" s="149" t="s">
        <v>95</v>
      </c>
      <c r="Y4" s="149"/>
      <c r="Z4" s="149"/>
      <c r="AA4" s="149"/>
      <c r="AB4" s="149"/>
      <c r="AC4" s="149"/>
    </row>
    <row r="5" spans="1:29" ht="29.4" thickBot="1" x14ac:dyDescent="0.35">
      <c r="A5" s="76" t="s">
        <v>22</v>
      </c>
      <c r="B5" s="22">
        <f ca="1">INDIRECT("Area_"&amp;A5&amp;"!B18",TRUE)-INDIRECT("Area_"&amp;A5&amp;"!B50",TRUE)</f>
        <v>60764.582272468011</v>
      </c>
      <c r="C5" s="76">
        <v>-0.11</v>
      </c>
      <c r="D5" s="76">
        <v>0.03</v>
      </c>
      <c r="E5" s="76">
        <v>-0.17</v>
      </c>
      <c r="G5" s="83" t="s">
        <v>94</v>
      </c>
      <c r="H5" s="37">
        <v>0.28999999999999998</v>
      </c>
      <c r="I5" s="37">
        <v>1.21</v>
      </c>
      <c r="J5" s="38">
        <v>3.72</v>
      </c>
      <c r="K5" s="37">
        <v>7.87</v>
      </c>
      <c r="L5" s="37">
        <v>8.15</v>
      </c>
      <c r="M5" s="76"/>
      <c r="Q5" s="76"/>
      <c r="R5" s="76"/>
      <c r="S5" s="76"/>
      <c r="T5" s="76"/>
      <c r="U5" s="76"/>
      <c r="V5" s="133" t="s">
        <v>436</v>
      </c>
      <c r="X5" s="142" t="s">
        <v>98</v>
      </c>
      <c r="Y5" s="142"/>
      <c r="Z5" s="21" t="s">
        <v>99</v>
      </c>
      <c r="AA5" s="21" t="s">
        <v>100</v>
      </c>
      <c r="AB5" s="21" t="s">
        <v>404</v>
      </c>
      <c r="AC5" s="21" t="s">
        <v>405</v>
      </c>
    </row>
    <row r="6" spans="1:29" ht="29.4" thickBot="1" x14ac:dyDescent="0.35">
      <c r="A6" s="76"/>
      <c r="B6" s="76"/>
      <c r="C6" s="76"/>
      <c r="G6" s="83" t="s">
        <v>96</v>
      </c>
      <c r="H6" s="37">
        <v>-34</v>
      </c>
      <c r="I6" s="37">
        <v>32.299999999999997</v>
      </c>
      <c r="J6" s="38">
        <v>358.6</v>
      </c>
      <c r="K6" s="37">
        <v>1859.6</v>
      </c>
      <c r="L6" s="37">
        <v>2568</v>
      </c>
      <c r="M6" s="76"/>
      <c r="Q6" s="76"/>
      <c r="R6" s="76"/>
      <c r="S6" s="76"/>
      <c r="T6" s="76"/>
      <c r="U6" s="76"/>
      <c r="X6" s="21" t="s">
        <v>407</v>
      </c>
      <c r="Y6" s="21" t="s">
        <v>406</v>
      </c>
    </row>
    <row r="7" spans="1:29" ht="15" thickBot="1" x14ac:dyDescent="0.35">
      <c r="G7" s="83" t="s">
        <v>101</v>
      </c>
      <c r="H7" s="37">
        <v>-7.34</v>
      </c>
      <c r="I7" s="37">
        <v>87</v>
      </c>
      <c r="J7" s="38">
        <v>201</v>
      </c>
      <c r="K7" s="37">
        <v>864</v>
      </c>
      <c r="L7" s="39">
        <v>6364</v>
      </c>
      <c r="M7" s="76"/>
      <c r="Q7" s="76"/>
      <c r="R7" s="76"/>
      <c r="S7" s="76"/>
      <c r="T7" s="76"/>
      <c r="U7" s="76"/>
      <c r="V7" s="76" t="s">
        <v>102</v>
      </c>
      <c r="W7" s="23">
        <v>0.4</v>
      </c>
      <c r="X7" s="116">
        <f>+P17</f>
        <v>6.3864833239654875E-2</v>
      </c>
      <c r="Y7" s="115">
        <f>S17</f>
        <v>59.777483912316939</v>
      </c>
      <c r="Z7" s="23"/>
      <c r="AA7" s="23"/>
      <c r="AB7" s="115">
        <f>MIN(X7:AA7)</f>
        <v>6.3864833239654875E-2</v>
      </c>
      <c r="AC7" s="115">
        <f>MAX(X7:AA7)</f>
        <v>59.777483912316939</v>
      </c>
    </row>
    <row r="8" spans="1:29" ht="15" thickBot="1" x14ac:dyDescent="0.35">
      <c r="A8" s="76" t="s">
        <v>76</v>
      </c>
      <c r="B8" s="76"/>
      <c r="C8" s="76"/>
      <c r="G8" s="40" t="s">
        <v>104</v>
      </c>
      <c r="H8" s="41"/>
      <c r="I8" s="41"/>
      <c r="J8" s="42"/>
      <c r="K8" s="41"/>
      <c r="L8" s="43"/>
      <c r="M8" s="76"/>
      <c r="Q8" s="76"/>
      <c r="R8" s="76"/>
      <c r="S8" s="76"/>
      <c r="T8" s="76"/>
      <c r="U8" s="76"/>
      <c r="V8" s="76" t="s">
        <v>9</v>
      </c>
      <c r="W8" s="23">
        <v>7.5</v>
      </c>
      <c r="X8" s="26">
        <f>+P9</f>
        <v>68.14058382504976</v>
      </c>
      <c r="Y8" s="115">
        <f>S9</f>
        <v>93.689710362573678</v>
      </c>
      <c r="Z8" s="115">
        <f>T9</f>
        <v>45.875</v>
      </c>
      <c r="AA8" s="23"/>
      <c r="AB8" s="115">
        <f t="shared" ref="AB8:AB10" si="0">MIN(X8:AA8)</f>
        <v>45.875</v>
      </c>
      <c r="AC8" s="115">
        <f t="shared" ref="AC8:AC10" si="1">MAX(X8:AA8)</f>
        <v>93.689710362573678</v>
      </c>
    </row>
    <row r="9" spans="1:29" ht="15" thickBot="1" x14ac:dyDescent="0.35">
      <c r="A9" s="76" t="s">
        <v>103</v>
      </c>
      <c r="B9" s="76" t="s">
        <v>347</v>
      </c>
      <c r="C9" s="76" t="s">
        <v>346</v>
      </c>
      <c r="D9" t="s">
        <v>350</v>
      </c>
      <c r="G9" s="83" t="s">
        <v>105</v>
      </c>
      <c r="H9" s="37">
        <v>0</v>
      </c>
      <c r="I9" s="37">
        <v>0.80800000000000005</v>
      </c>
      <c r="J9" s="38">
        <v>2.371</v>
      </c>
      <c r="K9" s="37">
        <v>3.26</v>
      </c>
      <c r="L9" s="37">
        <v>3.2410000000000001</v>
      </c>
      <c r="M9" s="76"/>
      <c r="N9" s="76">
        <f>J9*3.67</f>
        <v>8.7015700000000002</v>
      </c>
      <c r="O9" s="26">
        <f>N9*Area_CLCL!$B$18/Area_CLCL!$B$21</f>
        <v>68.14058382504976</v>
      </c>
      <c r="P9" s="26">
        <f>O9</f>
        <v>68.14058382504976</v>
      </c>
      <c r="Q9" s="76">
        <f>K9*3.67</f>
        <v>11.964199999999998</v>
      </c>
      <c r="R9" s="26">
        <f>Q9*Area_CLCL!$B$18/Area_CLCL!$B$21</f>
        <v>93.689710362573678</v>
      </c>
      <c r="S9" s="26">
        <f>R9</f>
        <v>93.689710362573678</v>
      </c>
      <c r="T9" s="76">
        <f>500*3.67/40</f>
        <v>45.875</v>
      </c>
      <c r="U9" s="76"/>
      <c r="V9" s="76" t="s">
        <v>106</v>
      </c>
      <c r="W9" s="23" t="s">
        <v>107</v>
      </c>
      <c r="X9" s="26">
        <f>+P10</f>
        <v>4.7414437550161068</v>
      </c>
      <c r="Y9" s="115">
        <f>S10</f>
        <v>24.829239816343886</v>
      </c>
      <c r="Z9" s="115">
        <f>T10</f>
        <v>45.875</v>
      </c>
      <c r="AA9" s="23"/>
      <c r="AB9" s="115">
        <f t="shared" si="0"/>
        <v>4.7414437550161068</v>
      </c>
      <c r="AC9" s="115">
        <f t="shared" si="1"/>
        <v>45.875</v>
      </c>
    </row>
    <row r="10" spans="1:29" ht="15" thickBot="1" x14ac:dyDescent="0.35">
      <c r="A10" s="76" t="s">
        <v>348</v>
      </c>
      <c r="D10" s="26">
        <f>-(C28-C48)/1000*3.67</f>
        <v>-9.6958900693014183</v>
      </c>
      <c r="G10" s="83" t="s">
        <v>108</v>
      </c>
      <c r="H10" s="37">
        <v>3.1E-2</v>
      </c>
      <c r="I10" s="37">
        <v>9.9000000000000005E-2</v>
      </c>
      <c r="J10" s="38">
        <v>0.26200000000000001</v>
      </c>
      <c r="K10" s="37">
        <v>1.3720000000000001</v>
      </c>
      <c r="L10" s="37">
        <v>1.385</v>
      </c>
      <c r="M10" s="76"/>
      <c r="N10" s="76">
        <f>J10*3.67</f>
        <v>0.96154000000000006</v>
      </c>
      <c r="O10" s="76">
        <f>+N10*$H$27/$I$27</f>
        <v>4.7414437550161068</v>
      </c>
      <c r="P10" s="26">
        <f>O10</f>
        <v>4.7414437550161068</v>
      </c>
      <c r="Q10" s="76">
        <f>K10*3.67</f>
        <v>5.0352399999999999</v>
      </c>
      <c r="R10" s="76">
        <f>+Q10*$H$27/$I$27</f>
        <v>24.829239816343886</v>
      </c>
      <c r="S10" s="26">
        <f>R10</f>
        <v>24.829239816343886</v>
      </c>
      <c r="T10" s="76">
        <f>500*3.67/40</f>
        <v>45.875</v>
      </c>
      <c r="U10" s="76"/>
      <c r="V10" s="76" t="s">
        <v>448</v>
      </c>
      <c r="W10" s="23" t="s">
        <v>109</v>
      </c>
      <c r="X10" s="23"/>
      <c r="Y10" s="23"/>
      <c r="Z10" s="23"/>
      <c r="AA10" s="115">
        <f>435.8*0.25</f>
        <v>108.95</v>
      </c>
      <c r="AB10" s="115">
        <f t="shared" si="0"/>
        <v>108.95</v>
      </c>
      <c r="AC10" s="115">
        <f t="shared" si="1"/>
        <v>108.95</v>
      </c>
    </row>
    <row r="11" spans="1:29" x14ac:dyDescent="0.3">
      <c r="A11" s="76" t="s">
        <v>349</v>
      </c>
      <c r="B11" s="26">
        <f ca="1">+D3*$B3*1000*3.67*0.000001</f>
        <v>201.58583339999998</v>
      </c>
      <c r="C11" s="26">
        <f ca="1">+E3*$B3*1000*3.67*0.000001</f>
        <v>-64.507466688000008</v>
      </c>
      <c r="D11" s="26">
        <f ca="1">+C3*$B3*1000*3.67*0.000001</f>
        <v>68.539183356000009</v>
      </c>
      <c r="G11" s="158" t="s">
        <v>110</v>
      </c>
      <c r="H11" s="151">
        <v>5.1999999999999998E-2</v>
      </c>
      <c r="I11" s="151">
        <v>5.1999999999999998E-2</v>
      </c>
      <c r="J11" s="160">
        <v>8.7999999999999995E-2</v>
      </c>
      <c r="K11" s="151">
        <v>0.13300000000000001</v>
      </c>
      <c r="L11" s="151">
        <v>0.14299999999999999</v>
      </c>
      <c r="M11" s="76"/>
      <c r="Q11" s="76"/>
      <c r="R11" s="76"/>
      <c r="S11" s="76"/>
      <c r="T11" s="76"/>
      <c r="U11" s="76"/>
      <c r="V11" s="76" t="s">
        <v>122</v>
      </c>
      <c r="W11" s="23" t="s">
        <v>109</v>
      </c>
      <c r="Z11" s="26">
        <f>$T$23</f>
        <v>26.14875</v>
      </c>
      <c r="AB11" s="115">
        <f t="shared" ref="AB11" si="2">MIN(X11:AA11)</f>
        <v>26.14875</v>
      </c>
      <c r="AC11" s="115">
        <f t="shared" ref="AC11" si="3">MAX(X11:AA11)</f>
        <v>26.14875</v>
      </c>
    </row>
    <row r="12" spans="1:29" ht="15" thickBot="1" x14ac:dyDescent="0.35">
      <c r="A12" s="76" t="s">
        <v>353</v>
      </c>
      <c r="D12" s="26">
        <f>-(C27-C47)/1000*3.67</f>
        <v>-42.605178288934752</v>
      </c>
      <c r="G12" s="159"/>
      <c r="H12" s="152"/>
      <c r="I12" s="152"/>
      <c r="J12" s="161"/>
      <c r="K12" s="152"/>
      <c r="L12" s="152"/>
      <c r="M12" s="76"/>
      <c r="Q12" s="76"/>
      <c r="R12" s="76"/>
      <c r="S12" s="76"/>
      <c r="T12" s="76"/>
      <c r="U12" s="76"/>
      <c r="V12" s="124" t="s">
        <v>112</v>
      </c>
      <c r="W12" s="125"/>
      <c r="X12" s="125"/>
      <c r="Y12" s="125"/>
      <c r="Z12" s="125"/>
      <c r="AA12" s="125"/>
      <c r="AB12" s="126">
        <f>SUM(AB7:AB11)</f>
        <v>185.77905858825577</v>
      </c>
      <c r="AC12" s="126">
        <f>SUM(AC7:AC11)</f>
        <v>334.44094427489063</v>
      </c>
    </row>
    <row r="13" spans="1:29" ht="29.4" thickBot="1" x14ac:dyDescent="0.35">
      <c r="A13" s="76" t="s">
        <v>354</v>
      </c>
      <c r="B13" s="26">
        <f ca="1">+D4*$B4*1000*3.67*0.000001</f>
        <v>0</v>
      </c>
      <c r="C13" s="26">
        <f ca="1">+E4*$B4*1000*3.67*0.000001</f>
        <v>-217.41635318156409</v>
      </c>
      <c r="D13" s="26">
        <f ca="1">+C4*$B4*1000*3.67*0.000001</f>
        <v>-90.148244002111952</v>
      </c>
      <c r="G13" s="83" t="s">
        <v>111</v>
      </c>
      <c r="H13" s="37">
        <v>0</v>
      </c>
      <c r="I13" s="37">
        <v>4.2999999999999997E-2</v>
      </c>
      <c r="J13" s="38">
        <v>0.78300000000000003</v>
      </c>
      <c r="K13" s="37">
        <v>0.80100000000000005</v>
      </c>
      <c r="L13" s="37">
        <v>0.80300000000000005</v>
      </c>
      <c r="M13" s="76"/>
      <c r="Q13" s="76"/>
      <c r="R13" s="76"/>
      <c r="S13" s="76"/>
      <c r="T13" s="76"/>
      <c r="U13" s="76"/>
      <c r="V13" s="132" t="s">
        <v>437</v>
      </c>
      <c r="W13" s="95"/>
      <c r="X13" s="153" t="s">
        <v>439</v>
      </c>
      <c r="Y13" s="153"/>
      <c r="Z13" s="88" t="s">
        <v>99</v>
      </c>
      <c r="AA13" s="88" t="s">
        <v>440</v>
      </c>
      <c r="AB13" s="95"/>
      <c r="AC13" s="95"/>
    </row>
    <row r="14" spans="1:29" ht="29.4" thickBot="1" x14ac:dyDescent="0.35">
      <c r="A14" s="76" t="s">
        <v>351</v>
      </c>
      <c r="C14" s="76"/>
      <c r="D14" s="26">
        <f>-(C29-C49)/1000*3.67</f>
        <v>-3.0645070011298534</v>
      </c>
      <c r="G14" s="83" t="s">
        <v>113</v>
      </c>
      <c r="H14" s="37">
        <v>1.0999999999999999E-2</v>
      </c>
      <c r="I14" s="37">
        <v>1.0999999999999999E-2</v>
      </c>
      <c r="J14" s="38">
        <v>1.0999999999999999E-2</v>
      </c>
      <c r="K14" s="37">
        <v>3.2000000000000001E-2</v>
      </c>
      <c r="L14" s="37">
        <v>3.2000000000000001E-2</v>
      </c>
      <c r="M14" s="76"/>
      <c r="Q14" s="76"/>
      <c r="R14" s="76"/>
      <c r="S14" s="76"/>
      <c r="T14" s="76"/>
      <c r="U14" s="76"/>
      <c r="V14" s="95"/>
      <c r="W14" s="95"/>
      <c r="X14" s="88" t="s">
        <v>407</v>
      </c>
      <c r="Y14" s="88" t="s">
        <v>406</v>
      </c>
      <c r="Z14" s="95"/>
      <c r="AA14" s="95"/>
      <c r="AB14" s="95"/>
      <c r="AC14" s="95"/>
    </row>
    <row r="15" spans="1:29" ht="15" thickBot="1" x14ac:dyDescent="0.35">
      <c r="A15" s="76" t="s">
        <v>352</v>
      </c>
      <c r="B15" s="26">
        <f ca="1">+D5*$B5*1000*3.67*0.000001</f>
        <v>6.6901805081987273</v>
      </c>
      <c r="C15" s="26">
        <f ca="1">+E5*$B5*1000*3.67*0.000001</f>
        <v>-37.911022879792796</v>
      </c>
      <c r="D15" s="26">
        <f ca="1">+C5*$B5*1000*3.67*0.000001</f>
        <v>-24.530661863395331</v>
      </c>
      <c r="G15" s="83" t="s">
        <v>114</v>
      </c>
      <c r="H15" s="37">
        <v>7.0000000000000007E-2</v>
      </c>
      <c r="I15" s="37">
        <v>7.0000000000000007E-2</v>
      </c>
      <c r="J15" s="38">
        <v>7.0000000000000007E-2</v>
      </c>
      <c r="K15" s="37">
        <v>7.0000000000000007E-2</v>
      </c>
      <c r="L15" s="37">
        <v>7.0000000000000007E-2</v>
      </c>
      <c r="M15" s="76"/>
      <c r="Q15" s="76"/>
      <c r="R15" s="76"/>
      <c r="S15" s="76"/>
      <c r="T15" s="76"/>
      <c r="U15" s="76"/>
      <c r="V15" s="95" t="s">
        <v>438</v>
      </c>
      <c r="W15" s="95"/>
      <c r="X15" s="95">
        <v>0</v>
      </c>
      <c r="Y15" s="127">
        <f>'Afforestation potential'!$G$25</f>
        <v>29.425485592394903</v>
      </c>
      <c r="Z15" s="95"/>
      <c r="AA15" s="127">
        <f>'Afforestation potential'!$C$32</f>
        <v>110.66710019596076</v>
      </c>
      <c r="AB15" s="128">
        <f t="shared" ref="AB15:AB16" si="4">MIN(X15:AA15)</f>
        <v>0</v>
      </c>
      <c r="AC15" s="128">
        <f t="shared" ref="AC15:AC16" si="5">MAX(X15:AA15)</f>
        <v>110.66710019596076</v>
      </c>
    </row>
    <row r="16" spans="1:29" ht="15" thickBot="1" x14ac:dyDescent="0.35">
      <c r="A16" s="76" t="s">
        <v>355</v>
      </c>
      <c r="B16" s="76"/>
      <c r="C16" s="76"/>
      <c r="D16" s="26">
        <f>D10+D12+D14</f>
        <v>-55.365575359366026</v>
      </c>
      <c r="G16" s="83" t="s">
        <v>115</v>
      </c>
      <c r="H16" s="37">
        <v>0.124</v>
      </c>
      <c r="I16" s="37">
        <v>0.124</v>
      </c>
      <c r="J16" s="38">
        <v>0.124</v>
      </c>
      <c r="K16" s="37">
        <v>0.124</v>
      </c>
      <c r="L16" s="37">
        <v>0.124</v>
      </c>
      <c r="M16" s="76"/>
      <c r="Q16" s="76"/>
      <c r="R16" s="76"/>
      <c r="S16" s="76"/>
      <c r="T16" s="76"/>
      <c r="U16" s="76"/>
      <c r="V16" s="95" t="s">
        <v>441</v>
      </c>
      <c r="W16" s="95"/>
      <c r="X16" s="95"/>
      <c r="Y16" s="95"/>
      <c r="Z16" s="127">
        <f>T24</f>
        <v>266.07499999999999</v>
      </c>
      <c r="AA16" s="95"/>
      <c r="AB16" s="128">
        <f t="shared" si="4"/>
        <v>266.07499999999999</v>
      </c>
      <c r="AC16" s="128">
        <f t="shared" si="5"/>
        <v>266.07499999999999</v>
      </c>
    </row>
    <row r="17" spans="1:29" ht="15" thickBot="1" x14ac:dyDescent="0.35">
      <c r="A17" s="76" t="s">
        <v>356</v>
      </c>
      <c r="B17" s="26">
        <f ca="1">$D17+SQRT(SUMSQ($D11-B11,$D13-B13,$D15-B15)/3)</f>
        <v>48.381629545618061</v>
      </c>
      <c r="C17" s="26">
        <f ca="1">$D17-SQRT(SUMSQ($D11-C11,$D13-C13,$D15-C15)/3)</f>
        <v>-152.71929647965206</v>
      </c>
      <c r="D17" s="26">
        <f ca="1">D11+D13+D15</f>
        <v>-46.139722509507273</v>
      </c>
      <c r="G17" s="83" t="s">
        <v>116</v>
      </c>
      <c r="H17" s="37">
        <v>0</v>
      </c>
      <c r="I17" s="37">
        <v>0</v>
      </c>
      <c r="J17" s="38">
        <v>1.2E-2</v>
      </c>
      <c r="K17" s="37">
        <v>2.08</v>
      </c>
      <c r="L17" s="37">
        <v>2.08</v>
      </c>
      <c r="M17" s="76"/>
      <c r="N17" s="76">
        <f>J17*3.67</f>
        <v>4.4040000000000003E-2</v>
      </c>
      <c r="O17" s="26">
        <f>N17*Area_CLCL!$B$18/Area_CLCL!$B$21</f>
        <v>0.34487009949413627</v>
      </c>
      <c r="P17" s="26">
        <f>O17/(3.3+0.75)*0.75</f>
        <v>6.3864833239654875E-2</v>
      </c>
      <c r="Q17" s="26">
        <f>L17*(3.3+0.75)/0.75*3.67</f>
        <v>41.221439999999994</v>
      </c>
      <c r="R17" s="26">
        <f>Q17*Area_CLCL!$B$18/Area_CLCL!$B$21</f>
        <v>322.79841312651149</v>
      </c>
      <c r="S17" s="26">
        <f>R17/(3.3+0.75)*0.75</f>
        <v>59.777483912316939</v>
      </c>
      <c r="T17" s="76"/>
      <c r="V17" s="129" t="s">
        <v>112</v>
      </c>
      <c r="W17" s="130"/>
      <c r="X17" s="130"/>
      <c r="Y17" s="130"/>
      <c r="Z17" s="130"/>
      <c r="AA17" s="130"/>
      <c r="AB17" s="131">
        <f>SUM(AB15:AB16)</f>
        <v>266.07499999999999</v>
      </c>
      <c r="AC17" s="131">
        <f>SUM(AC15:AC16)</f>
        <v>376.74210019596075</v>
      </c>
    </row>
    <row r="18" spans="1:29" ht="15" thickBot="1" x14ac:dyDescent="0.35">
      <c r="A18" s="76"/>
      <c r="B18" s="76"/>
      <c r="C18" s="76"/>
      <c r="G18" s="83" t="s">
        <v>117</v>
      </c>
      <c r="H18" s="37">
        <v>0</v>
      </c>
      <c r="I18" s="37">
        <v>0</v>
      </c>
      <c r="J18" s="38">
        <v>0</v>
      </c>
      <c r="K18" s="37">
        <v>0</v>
      </c>
      <c r="L18" s="37">
        <v>0.27100000000000002</v>
      </c>
      <c r="M18" s="76"/>
      <c r="Q18" s="76"/>
      <c r="R18" s="76"/>
      <c r="S18" s="76"/>
      <c r="T18" s="76"/>
      <c r="V18" s="76"/>
      <c r="W18" s="23"/>
      <c r="X18" s="23"/>
      <c r="Y18" s="23"/>
      <c r="Z18" s="23"/>
      <c r="AA18" s="23"/>
      <c r="AB18" s="115"/>
      <c r="AC18" s="115"/>
    </row>
    <row r="19" spans="1:29" ht="15" thickBot="1" x14ac:dyDescent="0.35">
      <c r="A19" s="76"/>
      <c r="B19" s="76"/>
      <c r="C19" s="76"/>
      <c r="G19" s="44" t="s">
        <v>118</v>
      </c>
      <c r="H19" s="37">
        <v>-1.06</v>
      </c>
      <c r="I19" s="45">
        <v>-4.42</v>
      </c>
      <c r="J19" s="84">
        <v>-13.64</v>
      </c>
      <c r="K19" s="37">
        <v>-28.9</v>
      </c>
      <c r="L19" s="37">
        <v>-29.9</v>
      </c>
      <c r="M19" s="76"/>
      <c r="Q19" s="76"/>
      <c r="R19" s="76"/>
      <c r="S19" s="76"/>
      <c r="T19" s="76"/>
      <c r="V19" s="95"/>
      <c r="W19" s="88" t="s">
        <v>97</v>
      </c>
      <c r="X19" s="149" t="s">
        <v>95</v>
      </c>
      <c r="Y19" s="149"/>
      <c r="Z19" s="149"/>
      <c r="AA19" s="149"/>
      <c r="AB19" s="149"/>
      <c r="AC19" s="149"/>
    </row>
    <row r="20" spans="1:29" ht="15" thickBot="1" x14ac:dyDescent="0.35">
      <c r="A20" s="76"/>
      <c r="B20" s="76"/>
      <c r="C20" s="76"/>
      <c r="G20" s="44" t="s">
        <v>119</v>
      </c>
      <c r="H20" s="37">
        <v>-1.0389999999999999</v>
      </c>
      <c r="I20" s="45">
        <v>-4.26</v>
      </c>
      <c r="J20" s="84">
        <v>-10.86</v>
      </c>
      <c r="K20" s="37">
        <v>-47.3</v>
      </c>
      <c r="L20" s="37">
        <v>-57.9</v>
      </c>
      <c r="M20" s="76"/>
      <c r="Q20" s="76"/>
      <c r="R20" s="76"/>
      <c r="S20" s="76"/>
      <c r="T20" s="76"/>
      <c r="V20" s="133" t="s">
        <v>436</v>
      </c>
      <c r="W20" s="76"/>
      <c r="X20" s="142" t="s">
        <v>442</v>
      </c>
      <c r="Y20" s="142"/>
      <c r="Z20" s="134" t="s">
        <v>443</v>
      </c>
      <c r="AA20" s="134" t="s">
        <v>444</v>
      </c>
      <c r="AB20" s="21" t="s">
        <v>404</v>
      </c>
      <c r="AC20" s="21" t="s">
        <v>405</v>
      </c>
    </row>
    <row r="21" spans="1:29" ht="28.8" x14ac:dyDescent="0.3">
      <c r="A21" s="86" t="s">
        <v>120</v>
      </c>
      <c r="B21" s="86"/>
      <c r="C21" s="73"/>
      <c r="D21" s="73"/>
      <c r="E21" s="73"/>
      <c r="G21" s="76"/>
      <c r="H21" s="76"/>
      <c r="I21" s="76"/>
      <c r="J21" s="76"/>
      <c r="K21" s="76"/>
      <c r="L21" s="76"/>
      <c r="M21" s="76"/>
      <c r="Q21" s="76"/>
      <c r="R21" s="76"/>
      <c r="S21" s="76"/>
      <c r="T21" s="76"/>
      <c r="V21" s="76"/>
      <c r="W21" s="76"/>
      <c r="X21" s="21" t="s">
        <v>407</v>
      </c>
      <c r="Y21" s="21" t="s">
        <v>406</v>
      </c>
      <c r="Z21" s="76"/>
      <c r="AA21" s="76"/>
      <c r="AB21" s="76"/>
      <c r="AC21" s="76"/>
    </row>
    <row r="22" spans="1:29" x14ac:dyDescent="0.3">
      <c r="A22" s="77" t="s">
        <v>121</v>
      </c>
      <c r="B22" s="76"/>
      <c r="C22" s="76"/>
      <c r="G22" s="76" t="s">
        <v>11</v>
      </c>
      <c r="H22" s="76"/>
      <c r="I22" s="76"/>
      <c r="J22" s="76"/>
      <c r="K22" s="76"/>
      <c r="L22" s="76"/>
      <c r="M22" s="76"/>
      <c r="Q22" s="76"/>
      <c r="R22" s="76"/>
      <c r="S22" s="76"/>
      <c r="T22" s="76">
        <f>350*3.67/40</f>
        <v>32.112499999999997</v>
      </c>
      <c r="V22" s="76" t="s">
        <v>102</v>
      </c>
      <c r="W22" s="23">
        <v>0.4</v>
      </c>
      <c r="X22" s="116">
        <v>6.3864833239654875E-2</v>
      </c>
      <c r="Y22" s="115">
        <v>59.777483912316939</v>
      </c>
      <c r="Z22" s="23"/>
      <c r="AA22" s="23"/>
      <c r="AB22" s="115">
        <v>6.3864833239654875E-2</v>
      </c>
      <c r="AC22" s="115">
        <v>59.777483912316939</v>
      </c>
    </row>
    <row r="23" spans="1:29" x14ac:dyDescent="0.3">
      <c r="A23" s="76"/>
      <c r="B23" s="76"/>
      <c r="C23" s="76"/>
      <c r="G23" s="76" t="s">
        <v>122</v>
      </c>
      <c r="H23" s="76"/>
      <c r="I23" s="76"/>
      <c r="J23" s="76"/>
      <c r="K23" s="76"/>
      <c r="L23" s="76"/>
      <c r="M23" s="76"/>
      <c r="Q23" s="76"/>
      <c r="R23" s="76"/>
      <c r="S23" s="76"/>
      <c r="T23" s="76">
        <f>285*3.67/40</f>
        <v>26.14875</v>
      </c>
      <c r="V23" s="76" t="s">
        <v>9</v>
      </c>
      <c r="W23" s="23">
        <v>7.5</v>
      </c>
      <c r="X23" s="26">
        <v>68.14058382504976</v>
      </c>
      <c r="Y23" s="115">
        <v>93.689710362573678</v>
      </c>
      <c r="Z23" s="115">
        <v>45.875</v>
      </c>
      <c r="AA23" s="23"/>
      <c r="AB23" s="115">
        <v>45.875</v>
      </c>
      <c r="AC23" s="115">
        <v>93.689710362573678</v>
      </c>
    </row>
    <row r="24" spans="1:29" s="76" customFormat="1" x14ac:dyDescent="0.3">
      <c r="F24" s="30"/>
      <c r="G24" s="117" t="s">
        <v>408</v>
      </c>
      <c r="T24" s="76">
        <f>2900*3.67/40</f>
        <v>266.07499999999999</v>
      </c>
      <c r="V24" s="76" t="s">
        <v>106</v>
      </c>
      <c r="W24" s="23" t="s">
        <v>107</v>
      </c>
      <c r="X24" s="26">
        <v>4.7414437550161068</v>
      </c>
      <c r="Y24" s="115">
        <v>24.829239816343886</v>
      </c>
      <c r="Z24" s="115">
        <v>45.875</v>
      </c>
      <c r="AA24" s="23"/>
      <c r="AB24" s="115">
        <v>4.7414437550161068</v>
      </c>
      <c r="AC24" s="115">
        <v>45.875</v>
      </c>
    </row>
    <row r="25" spans="1:29" x14ac:dyDescent="0.3">
      <c r="A25" s="86" t="s">
        <v>123</v>
      </c>
      <c r="B25" s="86" t="s">
        <v>124</v>
      </c>
      <c r="C25" s="86" t="s">
        <v>125</v>
      </c>
      <c r="D25" s="94"/>
      <c r="E25" s="94"/>
      <c r="G25" s="76"/>
      <c r="H25" s="76"/>
      <c r="I25" s="76"/>
      <c r="J25" s="76"/>
      <c r="K25" s="76"/>
      <c r="L25" s="76"/>
      <c r="M25" s="76"/>
      <c r="Q25" s="76"/>
      <c r="R25" s="76"/>
      <c r="S25" s="76"/>
      <c r="T25" s="76"/>
      <c r="V25" s="76" t="s">
        <v>448</v>
      </c>
      <c r="W25" s="23" t="s">
        <v>109</v>
      </c>
      <c r="X25" s="23"/>
      <c r="Y25" s="23"/>
      <c r="Z25" s="23"/>
      <c r="AA25" s="115">
        <v>108.95</v>
      </c>
      <c r="AB25" s="115">
        <v>108.95</v>
      </c>
      <c r="AC25" s="115">
        <v>108.95</v>
      </c>
    </row>
    <row r="26" spans="1:29" x14ac:dyDescent="0.3">
      <c r="A26" s="86" t="s">
        <v>126</v>
      </c>
      <c r="B26" s="86" t="s">
        <v>127</v>
      </c>
      <c r="C26" s="86" t="s">
        <v>128</v>
      </c>
      <c r="D26" s="76" t="s">
        <v>76</v>
      </c>
      <c r="E26" s="94"/>
      <c r="G26" s="76"/>
      <c r="H26" s="76" t="s">
        <v>72</v>
      </c>
      <c r="I26" s="76" t="s">
        <v>129</v>
      </c>
      <c r="J26" s="76"/>
      <c r="K26" s="76"/>
      <c r="L26" s="76"/>
      <c r="M26" s="76"/>
      <c r="Q26" s="76"/>
      <c r="R26" s="76"/>
      <c r="S26" s="76"/>
      <c r="T26" s="76"/>
      <c r="V26" s="76" t="s">
        <v>447</v>
      </c>
      <c r="W26" s="23" t="s">
        <v>109</v>
      </c>
      <c r="X26" s="76"/>
      <c r="Z26" s="26">
        <v>26.14875</v>
      </c>
      <c r="AA26" s="76"/>
      <c r="AB26" s="115">
        <v>26.14875</v>
      </c>
      <c r="AC26" s="115">
        <v>26.14875</v>
      </c>
    </row>
    <row r="27" spans="1:29" x14ac:dyDescent="0.3">
      <c r="A27" s="81" t="s">
        <v>130</v>
      </c>
      <c r="B27" s="81" t="s">
        <v>131</v>
      </c>
      <c r="C27" s="80">
        <v>12844.451341435593</v>
      </c>
      <c r="D27" s="26">
        <f>-C27/1000*3.67</f>
        <v>-47.139136423068628</v>
      </c>
      <c r="E27" s="80"/>
      <c r="G27" s="76" t="s">
        <v>132</v>
      </c>
      <c r="H27" s="76">
        <v>92154.363515823599</v>
      </c>
      <c r="I27" s="76">
        <v>18688.423035971249</v>
      </c>
      <c r="J27" s="76"/>
      <c r="K27" s="76"/>
      <c r="L27" s="76"/>
      <c r="M27" s="76"/>
      <c r="Q27" s="76"/>
      <c r="R27" s="76"/>
      <c r="S27" s="76"/>
      <c r="T27" s="76"/>
      <c r="V27" s="124" t="s">
        <v>112</v>
      </c>
      <c r="W27" s="125"/>
      <c r="X27" s="125"/>
      <c r="Y27" s="125"/>
      <c r="Z27" s="125"/>
      <c r="AA27" s="125"/>
      <c r="AB27" s="126">
        <v>185.77905858825577</v>
      </c>
      <c r="AC27" s="126">
        <v>334.44094427489063</v>
      </c>
    </row>
    <row r="28" spans="1:29" x14ac:dyDescent="0.3">
      <c r="A28" s="81" t="s">
        <v>130</v>
      </c>
      <c r="B28" s="81" t="s">
        <v>133</v>
      </c>
      <c r="C28" s="80">
        <v>1445.0003685004119</v>
      </c>
      <c r="D28" s="26">
        <f>-C28/1000*3.67</f>
        <v>-5.3031513523965117</v>
      </c>
      <c r="E28" s="80"/>
      <c r="G28" s="76"/>
      <c r="H28" s="76"/>
      <c r="I28" s="76"/>
      <c r="J28" s="76"/>
      <c r="K28" s="76"/>
      <c r="L28" s="76"/>
      <c r="M28" s="76"/>
      <c r="Q28" s="76"/>
      <c r="R28" s="76"/>
      <c r="S28" s="76"/>
      <c r="T28" s="76"/>
      <c r="V28" s="132" t="s">
        <v>437</v>
      </c>
      <c r="W28" s="95"/>
      <c r="X28" s="154" t="s">
        <v>445</v>
      </c>
      <c r="Y28" s="154"/>
      <c r="Z28" s="135" t="s">
        <v>443</v>
      </c>
      <c r="AA28" s="135" t="s">
        <v>446</v>
      </c>
      <c r="AB28" s="95"/>
      <c r="AC28" s="95"/>
    </row>
    <row r="29" spans="1:29" ht="28.8" x14ac:dyDescent="0.3">
      <c r="A29" s="81" t="s">
        <v>130</v>
      </c>
      <c r="B29" s="81" t="s">
        <v>134</v>
      </c>
      <c r="C29" s="80">
        <v>2255.0636584430817</v>
      </c>
      <c r="D29" s="26">
        <f>-C29/1000*3.67</f>
        <v>-8.2760836264861091</v>
      </c>
      <c r="E29" s="80"/>
      <c r="G29" s="76"/>
      <c r="H29" s="76"/>
      <c r="I29" s="76"/>
      <c r="J29" s="76"/>
      <c r="K29" s="76"/>
      <c r="L29" s="76"/>
      <c r="M29" s="76"/>
      <c r="Q29" s="76"/>
      <c r="R29" s="76"/>
      <c r="S29" s="76"/>
      <c r="T29" s="76"/>
      <c r="V29" s="95"/>
      <c r="W29" s="95"/>
      <c r="X29" s="88" t="s">
        <v>407</v>
      </c>
      <c r="Y29" s="88" t="s">
        <v>406</v>
      </c>
      <c r="Z29" s="95"/>
      <c r="AA29" s="95"/>
      <c r="AB29" s="95"/>
      <c r="AC29" s="95"/>
    </row>
    <row r="30" spans="1:29" x14ac:dyDescent="0.3">
      <c r="A30" s="81"/>
      <c r="B30" s="81"/>
      <c r="C30" s="80"/>
      <c r="D30" s="29"/>
      <c r="E30" s="80"/>
      <c r="G30" s="76"/>
      <c r="H30" s="76"/>
      <c r="I30" s="76"/>
      <c r="J30" s="76"/>
      <c r="K30" s="76"/>
      <c r="L30" s="76"/>
      <c r="M30" s="76"/>
      <c r="Q30" s="76"/>
      <c r="R30" s="76"/>
      <c r="S30" s="76"/>
      <c r="T30" s="76"/>
      <c r="V30" s="95" t="s">
        <v>438</v>
      </c>
      <c r="W30" s="95"/>
      <c r="X30" s="95">
        <v>0</v>
      </c>
      <c r="Y30" s="127">
        <v>29.425485592394903</v>
      </c>
      <c r="Z30" s="95"/>
      <c r="AA30" s="127">
        <v>110.66710019596076</v>
      </c>
      <c r="AB30" s="128">
        <v>0</v>
      </c>
      <c r="AC30" s="128">
        <v>110.66710019596076</v>
      </c>
    </row>
    <row r="31" spans="1:29" x14ac:dyDescent="0.3">
      <c r="V31" s="95" t="s">
        <v>441</v>
      </c>
      <c r="W31" s="95"/>
      <c r="X31" s="95"/>
      <c r="Y31" s="95"/>
      <c r="Z31" s="127">
        <v>266.07499999999999</v>
      </c>
      <c r="AA31" s="95"/>
      <c r="AB31" s="128">
        <v>266.07499999999999</v>
      </c>
      <c r="AC31" s="128">
        <v>266.07499999999999</v>
      </c>
    </row>
    <row r="32" spans="1:29" x14ac:dyDescent="0.3">
      <c r="V32" s="129" t="s">
        <v>112</v>
      </c>
      <c r="W32" s="130"/>
      <c r="X32" s="130"/>
      <c r="Y32" s="130"/>
      <c r="Z32" s="130"/>
      <c r="AA32" s="130"/>
      <c r="AB32" s="131">
        <v>266.07499999999999</v>
      </c>
      <c r="AC32" s="131">
        <v>376.74210019596075</v>
      </c>
    </row>
    <row r="33" spans="1:20" x14ac:dyDescent="0.3">
      <c r="A33" s="77" t="s">
        <v>135</v>
      </c>
      <c r="B33" s="76"/>
      <c r="C33" s="76"/>
      <c r="G33" s="76"/>
      <c r="H33" s="76"/>
      <c r="I33" s="76"/>
      <c r="J33" s="76"/>
      <c r="K33" s="76"/>
      <c r="L33" s="76"/>
      <c r="M33" s="76"/>
      <c r="Q33" s="76"/>
      <c r="R33" s="76"/>
      <c r="S33" s="76"/>
      <c r="T33" s="76"/>
    </row>
    <row r="34" spans="1:20" x14ac:dyDescent="0.3">
      <c r="A34" s="77" t="s">
        <v>136</v>
      </c>
      <c r="B34" s="76"/>
      <c r="C34" s="76"/>
    </row>
    <row r="35" spans="1:20" x14ac:dyDescent="0.3">
      <c r="A35" s="77" t="s">
        <v>137</v>
      </c>
      <c r="B35" s="76"/>
      <c r="C35" s="76"/>
    </row>
    <row r="36" spans="1:20" x14ac:dyDescent="0.3">
      <c r="A36" s="77" t="s">
        <v>138</v>
      </c>
      <c r="B36" s="76"/>
      <c r="C36" s="76"/>
    </row>
    <row r="38" spans="1:20" x14ac:dyDescent="0.3">
      <c r="A38" s="77" t="s">
        <v>139</v>
      </c>
      <c r="B38" s="76"/>
      <c r="C38" s="76"/>
    </row>
    <row r="40" spans="1:20" x14ac:dyDescent="0.3">
      <c r="A40" s="77" t="s">
        <v>140</v>
      </c>
      <c r="B40" s="76"/>
      <c r="C40" s="76"/>
    </row>
    <row r="42" spans="1:20" x14ac:dyDescent="0.3">
      <c r="A42" s="79" t="s">
        <v>120</v>
      </c>
      <c r="B42" s="79"/>
      <c r="C42" s="78"/>
      <c r="D42" s="78"/>
      <c r="E42" s="78"/>
    </row>
    <row r="43" spans="1:20" x14ac:dyDescent="0.3">
      <c r="A43" s="77" t="s">
        <v>141</v>
      </c>
      <c r="B43" s="76"/>
      <c r="C43" s="76"/>
    </row>
    <row r="44" spans="1:20" x14ac:dyDescent="0.3">
      <c r="A44" s="76"/>
      <c r="B44" s="76"/>
      <c r="C44" s="76"/>
    </row>
    <row r="45" spans="1:20" x14ac:dyDescent="0.3">
      <c r="A45" s="79" t="s">
        <v>123</v>
      </c>
      <c r="B45" s="79" t="s">
        <v>124</v>
      </c>
      <c r="C45" s="79" t="s">
        <v>125</v>
      </c>
      <c r="D45" s="79"/>
      <c r="E45" s="79"/>
    </row>
    <row r="46" spans="1:20" x14ac:dyDescent="0.3">
      <c r="A46" s="79" t="s">
        <v>126</v>
      </c>
      <c r="B46" s="79" t="s">
        <v>127</v>
      </c>
      <c r="C46" s="79" t="s">
        <v>128</v>
      </c>
      <c r="D46" s="76" t="s">
        <v>76</v>
      </c>
      <c r="E46" s="79"/>
    </row>
    <row r="47" spans="1:20" x14ac:dyDescent="0.3">
      <c r="A47" s="81" t="s">
        <v>142</v>
      </c>
      <c r="B47" s="81" t="s">
        <v>131</v>
      </c>
      <c r="C47" s="80">
        <v>1235.4109357313005</v>
      </c>
      <c r="D47" s="80"/>
      <c r="E47" s="80"/>
    </row>
    <row r="48" spans="1:20" x14ac:dyDescent="0.3">
      <c r="A48" s="81" t="s">
        <v>142</v>
      </c>
      <c r="B48" s="81" t="s">
        <v>133</v>
      </c>
      <c r="C48" s="80">
        <v>-1196.9315304918</v>
      </c>
      <c r="D48" s="80"/>
      <c r="E48" s="80"/>
    </row>
    <row r="49" spans="1:10" x14ac:dyDescent="0.3">
      <c r="A49" s="81" t="s">
        <v>142</v>
      </c>
      <c r="B49" s="81" t="s">
        <v>134</v>
      </c>
      <c r="C49" s="80">
        <v>1420.0481268000699</v>
      </c>
      <c r="D49" s="80"/>
      <c r="E49" s="80"/>
    </row>
    <row r="54" spans="1:10" x14ac:dyDescent="0.3">
      <c r="I54" s="150"/>
      <c r="J54" s="150"/>
    </row>
    <row r="55" spans="1:10" x14ac:dyDescent="0.3">
      <c r="I55" s="150"/>
      <c r="J55" s="150"/>
    </row>
  </sheetData>
  <mergeCells count="15">
    <mergeCell ref="G2:G4"/>
    <mergeCell ref="G11:G12"/>
    <mergeCell ref="H11:H12"/>
    <mergeCell ref="I11:I12"/>
    <mergeCell ref="J11:J12"/>
    <mergeCell ref="X5:Y5"/>
    <mergeCell ref="X4:AC4"/>
    <mergeCell ref="I54:J54"/>
    <mergeCell ref="I55:J55"/>
    <mergeCell ref="L11:L12"/>
    <mergeCell ref="K11:K12"/>
    <mergeCell ref="X13:Y13"/>
    <mergeCell ref="X19:AC19"/>
    <mergeCell ref="X20:Y20"/>
    <mergeCell ref="X28:Y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33" sqref="F33"/>
    </sheetView>
  </sheetViews>
  <sheetFormatPr baseColWidth="10" defaultRowHeight="14.4" x14ac:dyDescent="0.3"/>
  <sheetData>
    <row r="1" spans="1:9" x14ac:dyDescent="0.3">
      <c r="A1" t="s">
        <v>449</v>
      </c>
      <c r="G1" s="76" t="s">
        <v>460</v>
      </c>
      <c r="H1" s="76"/>
      <c r="I1" s="76"/>
    </row>
    <row r="2" spans="1:9" x14ac:dyDescent="0.3">
      <c r="A2" t="s">
        <v>459</v>
      </c>
      <c r="G2" s="76" t="s">
        <v>461</v>
      </c>
      <c r="H2" s="76"/>
      <c r="I2" s="76"/>
    </row>
    <row r="3" spans="1:9" x14ac:dyDescent="0.3">
      <c r="A3" t="s">
        <v>451</v>
      </c>
      <c r="B3" t="s">
        <v>450</v>
      </c>
      <c r="C3" t="s">
        <v>467</v>
      </c>
      <c r="G3" s="76" t="s">
        <v>463</v>
      </c>
      <c r="H3" s="76" t="s">
        <v>462</v>
      </c>
      <c r="I3" s="76" t="s">
        <v>468</v>
      </c>
    </row>
    <row r="4" spans="1:9" x14ac:dyDescent="0.3">
      <c r="A4" t="s">
        <v>452</v>
      </c>
      <c r="B4">
        <v>-13.217550274223001</v>
      </c>
      <c r="C4">
        <v>-3.2727272727272698</v>
      </c>
      <c r="G4" t="s">
        <v>464</v>
      </c>
      <c r="H4">
        <v>5.4812510752121302</v>
      </c>
      <c r="I4">
        <v>1.4435867411776999</v>
      </c>
    </row>
    <row r="5" spans="1:9" x14ac:dyDescent="0.3">
      <c r="A5" t="s">
        <v>453</v>
      </c>
      <c r="B5">
        <v>-12.2303473491773</v>
      </c>
      <c r="C5">
        <v>-7.8</v>
      </c>
      <c r="G5" s="76" t="s">
        <v>465</v>
      </c>
      <c r="H5">
        <v>5.52828293478803</v>
      </c>
      <c r="I5">
        <v>2.48827671936824</v>
      </c>
    </row>
    <row r="6" spans="1:9" x14ac:dyDescent="0.3">
      <c r="A6" t="s">
        <v>454</v>
      </c>
      <c r="B6">
        <v>-1.70018281535649</v>
      </c>
      <c r="C6">
        <v>0.381818181818182</v>
      </c>
      <c r="G6" t="s">
        <v>466</v>
      </c>
      <c r="H6">
        <v>3.6384068547201101</v>
      </c>
      <c r="I6" s="76">
        <v>1.4435867411776999</v>
      </c>
    </row>
    <row r="7" spans="1:9" x14ac:dyDescent="0.3">
      <c r="A7" t="s">
        <v>455</v>
      </c>
      <c r="B7">
        <v>3.1261425959780502</v>
      </c>
      <c r="C7">
        <v>-5.0727272727272696</v>
      </c>
      <c r="G7" s="76" t="s">
        <v>466</v>
      </c>
      <c r="H7">
        <v>0.868521673501778</v>
      </c>
      <c r="I7" s="76">
        <v>2.48827671936824</v>
      </c>
    </row>
    <row r="8" spans="1:9" x14ac:dyDescent="0.3">
      <c r="A8" t="s">
        <v>456</v>
      </c>
      <c r="B8">
        <v>5.8683729433272296</v>
      </c>
      <c r="C8">
        <v>-8.1272727272727305</v>
      </c>
    </row>
    <row r="9" spans="1:9" x14ac:dyDescent="0.3">
      <c r="A9" t="s">
        <v>457</v>
      </c>
      <c r="B9">
        <v>5.9780621572212</v>
      </c>
      <c r="C9">
        <v>-1.8</v>
      </c>
    </row>
    <row r="10" spans="1:9" x14ac:dyDescent="0.3">
      <c r="A10" t="s">
        <v>458</v>
      </c>
      <c r="B10">
        <v>-1.70018281535649</v>
      </c>
      <c r="C10">
        <v>-3.6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workbookViewId="0">
      <selection activeCell="A14" sqref="A14:A41"/>
    </sheetView>
  </sheetViews>
  <sheetFormatPr baseColWidth="10" defaultColWidth="11.44140625" defaultRowHeight="14.4" x14ac:dyDescent="0.3"/>
  <cols>
    <col min="16" max="16" width="19.6640625" style="28" customWidth="1"/>
  </cols>
  <sheetData>
    <row r="1" spans="1:40" x14ac:dyDescent="0.3">
      <c r="A1" s="49" t="s">
        <v>143</v>
      </c>
      <c r="B1" s="76"/>
      <c r="C1" s="76"/>
      <c r="D1" s="76"/>
      <c r="E1" s="76"/>
      <c r="F1" s="76"/>
      <c r="G1" s="76"/>
      <c r="H1" s="76"/>
      <c r="I1" s="76"/>
      <c r="J1" s="76"/>
      <c r="K1" s="76"/>
      <c r="L1" s="76"/>
      <c r="M1" s="76"/>
      <c r="N1" s="76"/>
      <c r="O1" s="76"/>
      <c r="P1" s="76"/>
      <c r="Q1" s="76"/>
      <c r="R1" s="49" t="s">
        <v>144</v>
      </c>
      <c r="S1" s="76"/>
      <c r="T1" s="76"/>
      <c r="U1" s="76"/>
      <c r="V1" s="76"/>
      <c r="W1" s="76"/>
      <c r="X1" s="76"/>
      <c r="Y1" s="76"/>
      <c r="Z1" s="76"/>
      <c r="AA1" s="76"/>
      <c r="AB1" s="76"/>
      <c r="AC1" s="76"/>
      <c r="AD1" s="76"/>
      <c r="AE1" s="76"/>
      <c r="AF1" s="76"/>
      <c r="AG1" s="76"/>
      <c r="AH1" s="76"/>
      <c r="AI1" s="76"/>
      <c r="AJ1" s="76"/>
      <c r="AK1" s="76"/>
      <c r="AL1" s="76"/>
      <c r="AM1" s="76"/>
      <c r="AN1" s="76"/>
    </row>
    <row r="2" spans="1:40" x14ac:dyDescent="0.3">
      <c r="A2" s="49" t="s">
        <v>145</v>
      </c>
      <c r="B2" s="50" t="s">
        <v>146</v>
      </c>
      <c r="C2" s="76"/>
      <c r="D2" s="76"/>
      <c r="E2" s="76"/>
      <c r="F2" s="76"/>
      <c r="G2" s="76"/>
      <c r="H2" s="76"/>
      <c r="I2" s="76"/>
      <c r="J2" s="76"/>
      <c r="K2" s="76"/>
      <c r="L2" s="76"/>
      <c r="M2" s="76"/>
      <c r="N2" s="76"/>
      <c r="O2" s="76"/>
      <c r="P2" s="76"/>
      <c r="Q2" s="76"/>
      <c r="R2" s="49" t="s">
        <v>145</v>
      </c>
      <c r="S2" s="50" t="s">
        <v>147</v>
      </c>
      <c r="T2" s="76"/>
      <c r="U2" s="76"/>
      <c r="V2" s="76"/>
      <c r="W2" s="76"/>
      <c r="X2" s="76"/>
      <c r="Y2" s="76"/>
      <c r="Z2" s="76"/>
      <c r="AA2" s="76"/>
      <c r="AB2" s="76"/>
      <c r="AC2" s="76"/>
      <c r="AD2" s="76"/>
      <c r="AE2" s="76"/>
      <c r="AF2" s="76"/>
      <c r="AG2" s="76"/>
      <c r="AH2" s="76"/>
      <c r="AI2" s="76"/>
      <c r="AJ2" s="76"/>
      <c r="AK2" s="76"/>
      <c r="AL2" s="76"/>
      <c r="AM2" s="76"/>
      <c r="AN2" s="76"/>
    </row>
    <row r="3" spans="1:40" x14ac:dyDescent="0.3">
      <c r="A3" s="49" t="s">
        <v>148</v>
      </c>
      <c r="B3" s="49" t="s">
        <v>149</v>
      </c>
      <c r="C3" s="76"/>
      <c r="D3" s="76"/>
      <c r="E3" s="76"/>
      <c r="F3" s="76"/>
      <c r="G3" s="76"/>
      <c r="H3" s="76"/>
      <c r="I3" s="76"/>
      <c r="J3" s="76"/>
      <c r="K3" s="76"/>
      <c r="L3" s="76"/>
      <c r="M3" s="76"/>
      <c r="N3" s="76"/>
      <c r="O3" s="76"/>
      <c r="P3" s="76"/>
      <c r="Q3" s="76"/>
      <c r="R3" s="49" t="s">
        <v>148</v>
      </c>
      <c r="S3" s="49" t="s">
        <v>150</v>
      </c>
      <c r="T3" s="76"/>
      <c r="U3" s="76"/>
      <c r="V3" s="76"/>
      <c r="W3" s="76"/>
      <c r="X3" s="76"/>
      <c r="Y3" s="76"/>
      <c r="Z3" s="76"/>
      <c r="AA3" s="76"/>
      <c r="AB3" s="76"/>
      <c r="AC3" s="76"/>
      <c r="AD3" s="76"/>
      <c r="AE3" s="76"/>
      <c r="AF3" s="76"/>
      <c r="AG3" s="76"/>
      <c r="AH3" s="76"/>
      <c r="AI3" s="76"/>
      <c r="AJ3" s="76"/>
      <c r="AK3" s="76"/>
      <c r="AL3" s="76"/>
      <c r="AM3" s="76"/>
      <c r="AN3" s="76"/>
    </row>
    <row r="4" spans="1:40" x14ac:dyDescent="0.3">
      <c r="A4" s="76"/>
      <c r="B4" s="76"/>
      <c r="C4" s="76"/>
      <c r="D4" s="76"/>
      <c r="E4" s="76"/>
      <c r="F4" s="76"/>
      <c r="G4" s="76"/>
      <c r="H4" s="76">
        <v>2010</v>
      </c>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row>
    <row r="5" spans="1:40" x14ac:dyDescent="0.3">
      <c r="A5" s="50" t="s">
        <v>151</v>
      </c>
      <c r="B5" s="76"/>
      <c r="C5" s="49" t="s">
        <v>152</v>
      </c>
      <c r="D5" s="76"/>
      <c r="E5" s="76"/>
      <c r="F5" s="76" t="s">
        <v>153</v>
      </c>
      <c r="G5" s="76" t="s">
        <v>154</v>
      </c>
      <c r="H5" s="76"/>
      <c r="I5" s="76"/>
      <c r="J5" s="76"/>
      <c r="K5" s="76"/>
      <c r="L5" s="76"/>
      <c r="M5" s="76"/>
      <c r="N5" s="76"/>
      <c r="O5" s="76"/>
      <c r="P5" s="76"/>
      <c r="Q5" s="76"/>
      <c r="R5" s="50" t="s">
        <v>151</v>
      </c>
      <c r="S5" s="76"/>
      <c r="T5" s="49" t="s">
        <v>152</v>
      </c>
      <c r="U5" s="76"/>
      <c r="V5" s="76"/>
      <c r="W5" s="76"/>
      <c r="X5" s="76"/>
      <c r="Y5" s="76"/>
      <c r="Z5" s="76"/>
      <c r="AA5" s="76"/>
      <c r="AB5" s="76"/>
      <c r="AC5" s="76"/>
      <c r="AD5" s="76"/>
      <c r="AE5" s="76"/>
      <c r="AF5" s="76"/>
      <c r="AG5" s="76"/>
      <c r="AH5" s="76"/>
      <c r="AI5" s="76"/>
      <c r="AJ5" s="76"/>
      <c r="AK5" s="76"/>
      <c r="AL5" s="76"/>
      <c r="AM5" s="76"/>
      <c r="AN5" s="76"/>
    </row>
    <row r="6" spans="1:40" x14ac:dyDescent="0.3">
      <c r="A6" s="50" t="s">
        <v>155</v>
      </c>
      <c r="B6" s="76"/>
      <c r="C6" s="49" t="s">
        <v>112</v>
      </c>
      <c r="D6" s="76"/>
      <c r="E6" s="76" t="s">
        <v>156</v>
      </c>
      <c r="F6" s="22">
        <f>SUM($L$14:$L$40)</f>
        <v>22328980</v>
      </c>
      <c r="G6" s="24">
        <f>+F6/$F$9</f>
        <v>0.23001035763454494</v>
      </c>
      <c r="H6" s="76"/>
      <c r="I6" s="76"/>
      <c r="J6" s="76"/>
      <c r="K6" s="76"/>
      <c r="L6" s="76"/>
      <c r="M6" s="76"/>
      <c r="N6" s="76"/>
      <c r="O6" s="76"/>
      <c r="P6" s="76"/>
      <c r="Q6" s="76"/>
      <c r="R6" s="50" t="s">
        <v>157</v>
      </c>
      <c r="S6" s="76"/>
      <c r="T6" s="49" t="s">
        <v>112</v>
      </c>
      <c r="U6" s="76"/>
      <c r="V6" s="76"/>
      <c r="W6" s="76"/>
      <c r="X6" s="76"/>
      <c r="Y6" s="76"/>
      <c r="Z6" s="76"/>
      <c r="AA6" s="76"/>
      <c r="AB6" s="76"/>
      <c r="AC6" s="76"/>
      <c r="AD6" s="76"/>
      <c r="AE6" s="76"/>
      <c r="AF6" s="76"/>
      <c r="AG6" s="76"/>
      <c r="AH6" s="76"/>
      <c r="AI6" s="76"/>
      <c r="AJ6" s="76"/>
      <c r="AK6" s="76"/>
      <c r="AL6" s="76"/>
      <c r="AM6" s="76"/>
      <c r="AN6" s="76"/>
    </row>
    <row r="7" spans="1:40" x14ac:dyDescent="0.3">
      <c r="A7" s="50" t="s">
        <v>157</v>
      </c>
      <c r="B7" s="76"/>
      <c r="C7" s="49" t="s">
        <v>112</v>
      </c>
      <c r="D7" s="76"/>
      <c r="E7" s="76" t="s">
        <v>158</v>
      </c>
      <c r="F7" s="22">
        <f>SUM($D$14:$D$40)</f>
        <v>7825280</v>
      </c>
      <c r="G7" s="24">
        <f>+F7/$F$9</f>
        <v>8.0608046197831337E-2</v>
      </c>
      <c r="H7" s="76"/>
      <c r="I7" s="76"/>
      <c r="J7" s="76"/>
      <c r="K7" s="76"/>
      <c r="L7" s="76"/>
      <c r="M7" s="76"/>
      <c r="N7" s="76"/>
      <c r="O7" s="76"/>
      <c r="P7" s="76"/>
      <c r="Q7" s="76"/>
      <c r="R7" s="50" t="s">
        <v>159</v>
      </c>
      <c r="S7" s="76"/>
      <c r="T7" s="49" t="s">
        <v>112</v>
      </c>
      <c r="U7" s="76"/>
      <c r="V7" s="76"/>
      <c r="W7" s="76"/>
      <c r="X7" s="76"/>
      <c r="Y7" s="76"/>
      <c r="Z7" s="76"/>
      <c r="AA7" s="76"/>
      <c r="AB7" s="76"/>
      <c r="AC7" s="76"/>
      <c r="AD7" s="76"/>
      <c r="AE7" s="76"/>
      <c r="AF7" s="76"/>
      <c r="AG7" s="76"/>
      <c r="AH7" s="76"/>
      <c r="AI7" s="76"/>
      <c r="AJ7" s="76"/>
      <c r="AK7" s="76"/>
      <c r="AL7" s="76"/>
      <c r="AM7" s="76"/>
      <c r="AN7" s="76"/>
    </row>
    <row r="8" spans="1:40" x14ac:dyDescent="0.3">
      <c r="A8" s="50" t="s">
        <v>160</v>
      </c>
      <c r="B8" s="76"/>
      <c r="C8" s="49" t="s">
        <v>112</v>
      </c>
      <c r="D8" s="76"/>
      <c r="E8" s="76" t="s">
        <v>9</v>
      </c>
      <c r="F8" s="22">
        <f>SUM($H$14:$H$40)</f>
        <v>7451790</v>
      </c>
      <c r="G8" s="24">
        <f>+F8/$F$9</f>
        <v>7.6760733491522043E-2</v>
      </c>
      <c r="H8" s="22">
        <f>SUM($P$14:$P$40)</f>
        <v>5366130</v>
      </c>
      <c r="I8" s="24">
        <f>+H8/$F$9</f>
        <v>5.5276393297564903E-2</v>
      </c>
      <c r="J8" s="76"/>
      <c r="K8" s="76"/>
      <c r="L8" s="76"/>
      <c r="M8" s="76"/>
      <c r="N8" s="76"/>
      <c r="O8" s="76"/>
      <c r="P8" s="76"/>
      <c r="Q8" s="76"/>
      <c r="R8" s="50" t="s">
        <v>161</v>
      </c>
      <c r="S8" s="76"/>
      <c r="T8" s="49" t="s">
        <v>162</v>
      </c>
      <c r="U8" s="76"/>
      <c r="V8" s="76"/>
      <c r="W8" s="76"/>
      <c r="X8" s="76"/>
      <c r="Y8" s="76"/>
      <c r="Z8" s="76"/>
      <c r="AA8" s="76"/>
      <c r="AB8" s="76"/>
      <c r="AC8" s="76"/>
      <c r="AD8" s="76"/>
      <c r="AE8" s="76"/>
      <c r="AF8" s="76"/>
      <c r="AG8" s="76"/>
      <c r="AH8" s="76"/>
      <c r="AI8" s="76"/>
      <c r="AJ8" s="76"/>
      <c r="AK8" s="76"/>
      <c r="AL8" s="76"/>
      <c r="AM8" s="76"/>
      <c r="AN8" s="76"/>
    </row>
    <row r="9" spans="1:40" x14ac:dyDescent="0.3">
      <c r="A9" s="50" t="s">
        <v>161</v>
      </c>
      <c r="B9" s="76"/>
      <c r="C9" s="49" t="s">
        <v>162</v>
      </c>
      <c r="D9" s="76"/>
      <c r="E9" s="76" t="s">
        <v>112</v>
      </c>
      <c r="F9" s="22">
        <f>SUM($B$14:$B$40)</f>
        <v>97078150</v>
      </c>
      <c r="G9" s="76"/>
      <c r="H9" s="76"/>
      <c r="I9" s="76"/>
      <c r="J9" s="76"/>
      <c r="K9" s="76"/>
      <c r="L9" s="76"/>
      <c r="M9" s="76"/>
      <c r="N9" s="76"/>
      <c r="O9" s="76"/>
      <c r="P9" s="76"/>
      <c r="Q9" s="76"/>
      <c r="R9" s="50" t="s">
        <v>160</v>
      </c>
      <c r="S9" s="76"/>
      <c r="T9" s="49" t="s">
        <v>112</v>
      </c>
      <c r="U9" s="76"/>
      <c r="V9" s="76"/>
      <c r="W9" s="76"/>
      <c r="X9" s="76"/>
      <c r="Y9" s="76"/>
      <c r="Z9" s="76"/>
      <c r="AA9" s="76"/>
      <c r="AB9" s="76"/>
      <c r="AC9" s="76"/>
      <c r="AD9" s="76"/>
      <c r="AE9" s="76"/>
      <c r="AF9" s="76"/>
      <c r="AG9" s="76"/>
      <c r="AH9" s="76"/>
      <c r="AI9" s="76"/>
      <c r="AJ9" s="76"/>
      <c r="AK9" s="76"/>
      <c r="AL9" s="76"/>
      <c r="AM9" s="76"/>
      <c r="AN9" s="76"/>
    </row>
    <row r="10" spans="1:40" x14ac:dyDescent="0.3">
      <c r="A10" s="50" t="s">
        <v>163</v>
      </c>
      <c r="B10" s="76"/>
      <c r="C10" s="49" t="s">
        <v>164</v>
      </c>
      <c r="D10" s="76"/>
      <c r="E10" s="76"/>
      <c r="F10" s="76"/>
      <c r="G10" s="76"/>
      <c r="H10" s="76"/>
      <c r="I10" s="76"/>
      <c r="J10" s="76"/>
      <c r="K10" s="76"/>
      <c r="L10" s="76"/>
      <c r="M10" s="76"/>
      <c r="N10" s="76"/>
      <c r="O10" s="76"/>
      <c r="P10" s="76"/>
      <c r="Q10" s="76"/>
      <c r="R10" s="50" t="s">
        <v>163</v>
      </c>
      <c r="S10" s="76"/>
      <c r="T10" s="49" t="s">
        <v>164</v>
      </c>
      <c r="U10" s="76"/>
      <c r="V10" s="76"/>
      <c r="W10" s="76"/>
      <c r="X10" s="76"/>
      <c r="Y10" s="76"/>
      <c r="Z10" s="76"/>
      <c r="AA10" s="76"/>
      <c r="AB10" s="76"/>
      <c r="AC10" s="76"/>
      <c r="AD10" s="76"/>
      <c r="AE10" s="76"/>
      <c r="AF10" s="76"/>
      <c r="AG10" s="76"/>
      <c r="AH10" s="76"/>
      <c r="AI10" s="76"/>
      <c r="AJ10" s="76"/>
      <c r="AK10" s="76"/>
      <c r="AL10" s="76"/>
      <c r="AM10" s="76"/>
      <c r="AN10" s="76"/>
    </row>
    <row r="11" spans="1:40" x14ac:dyDescent="0.3">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row>
    <row r="12" spans="1:40" x14ac:dyDescent="0.3">
      <c r="A12" s="51" t="s">
        <v>165</v>
      </c>
      <c r="B12" s="162" t="s">
        <v>166</v>
      </c>
      <c r="C12" s="162" t="s">
        <v>167</v>
      </c>
      <c r="D12" s="162" t="s">
        <v>168</v>
      </c>
      <c r="E12" s="162" t="s">
        <v>167</v>
      </c>
      <c r="F12" s="162" t="s">
        <v>169</v>
      </c>
      <c r="G12" s="162" t="s">
        <v>167</v>
      </c>
      <c r="H12" s="162" t="s">
        <v>170</v>
      </c>
      <c r="I12" s="162" t="s">
        <v>167</v>
      </c>
      <c r="J12" s="162" t="s">
        <v>171</v>
      </c>
      <c r="K12" s="162" t="s">
        <v>167</v>
      </c>
      <c r="L12" s="162" t="s">
        <v>156</v>
      </c>
      <c r="M12" s="162" t="s">
        <v>167</v>
      </c>
      <c r="N12" s="162" t="s">
        <v>172</v>
      </c>
      <c r="O12" s="162" t="s">
        <v>167</v>
      </c>
      <c r="P12" s="58" t="s">
        <v>173</v>
      </c>
      <c r="Q12" s="76"/>
      <c r="R12" s="51" t="s">
        <v>174</v>
      </c>
      <c r="S12" s="162" t="s">
        <v>175</v>
      </c>
      <c r="T12" s="162" t="s">
        <v>167</v>
      </c>
      <c r="U12" s="162" t="s">
        <v>176</v>
      </c>
      <c r="V12" s="162" t="s">
        <v>167</v>
      </c>
      <c r="W12" s="162" t="s">
        <v>166</v>
      </c>
      <c r="X12" s="162" t="s">
        <v>167</v>
      </c>
      <c r="Y12" s="162" t="s">
        <v>177</v>
      </c>
      <c r="Z12" s="162" t="s">
        <v>167</v>
      </c>
      <c r="AA12" s="162" t="s">
        <v>178</v>
      </c>
      <c r="AB12" s="162" t="s">
        <v>167</v>
      </c>
      <c r="AC12" s="162" t="s">
        <v>179</v>
      </c>
      <c r="AD12" s="162" t="s">
        <v>167</v>
      </c>
      <c r="AE12" s="162" t="s">
        <v>180</v>
      </c>
      <c r="AF12" s="162" t="s">
        <v>167</v>
      </c>
      <c r="AG12" s="162" t="s">
        <v>181</v>
      </c>
      <c r="AH12" s="162" t="s">
        <v>167</v>
      </c>
      <c r="AI12" s="162" t="s">
        <v>182</v>
      </c>
      <c r="AJ12" s="162" t="s">
        <v>167</v>
      </c>
      <c r="AK12" s="162" t="s">
        <v>183</v>
      </c>
      <c r="AL12" s="162" t="s">
        <v>167</v>
      </c>
      <c r="AM12" s="162" t="s">
        <v>184</v>
      </c>
      <c r="AN12" s="162" t="s">
        <v>167</v>
      </c>
    </row>
    <row r="13" spans="1:40" x14ac:dyDescent="0.3">
      <c r="A13" s="52" t="s">
        <v>185</v>
      </c>
      <c r="B13" s="53" t="s">
        <v>167</v>
      </c>
      <c r="C13" s="53" t="s">
        <v>167</v>
      </c>
      <c r="D13" s="53" t="s">
        <v>167</v>
      </c>
      <c r="E13" s="53" t="s">
        <v>167</v>
      </c>
      <c r="F13" s="53" t="s">
        <v>167</v>
      </c>
      <c r="G13" s="53" t="s">
        <v>167</v>
      </c>
      <c r="H13" s="53" t="s">
        <v>167</v>
      </c>
      <c r="I13" s="53" t="s">
        <v>167</v>
      </c>
      <c r="J13" s="53" t="s">
        <v>167</v>
      </c>
      <c r="K13" s="53" t="s">
        <v>167</v>
      </c>
      <c r="L13" s="53" t="s">
        <v>167</v>
      </c>
      <c r="M13" s="53" t="s">
        <v>167</v>
      </c>
      <c r="N13" s="53" t="s">
        <v>167</v>
      </c>
      <c r="O13" s="53" t="s">
        <v>167</v>
      </c>
      <c r="P13" s="53" t="s">
        <v>167</v>
      </c>
      <c r="Q13" s="76"/>
      <c r="R13" s="52" t="s">
        <v>185</v>
      </c>
      <c r="S13" s="53" t="s">
        <v>167</v>
      </c>
      <c r="T13" s="53" t="s">
        <v>167</v>
      </c>
      <c r="U13" s="53" t="s">
        <v>167</v>
      </c>
      <c r="V13" s="53" t="s">
        <v>167</v>
      </c>
      <c r="W13" s="53" t="s">
        <v>167</v>
      </c>
      <c r="X13" s="53" t="s">
        <v>167</v>
      </c>
      <c r="Y13" s="53" t="s">
        <v>167</v>
      </c>
      <c r="Z13" s="53" t="s">
        <v>167</v>
      </c>
      <c r="AA13" s="53" t="s">
        <v>167</v>
      </c>
      <c r="AB13" s="53" t="s">
        <v>167</v>
      </c>
      <c r="AC13" s="53" t="s">
        <v>167</v>
      </c>
      <c r="AD13" s="53" t="s">
        <v>167</v>
      </c>
      <c r="AE13" s="53" t="s">
        <v>167</v>
      </c>
      <c r="AF13" s="53" t="s">
        <v>167</v>
      </c>
      <c r="AG13" s="53" t="s">
        <v>167</v>
      </c>
      <c r="AH13" s="53" t="s">
        <v>167</v>
      </c>
      <c r="AI13" s="53" t="s">
        <v>167</v>
      </c>
      <c r="AJ13" s="53" t="s">
        <v>167</v>
      </c>
      <c r="AK13" s="53" t="s">
        <v>167</v>
      </c>
      <c r="AL13" s="53" t="s">
        <v>167</v>
      </c>
      <c r="AM13" s="53" t="s">
        <v>167</v>
      </c>
      <c r="AN13" s="53" t="s">
        <v>167</v>
      </c>
    </row>
    <row r="14" spans="1:40" x14ac:dyDescent="0.3">
      <c r="A14" s="54" t="s">
        <v>26</v>
      </c>
      <c r="B14" s="55">
        <v>854810</v>
      </c>
      <c r="C14" s="55" t="s">
        <v>167</v>
      </c>
      <c r="D14" s="55">
        <v>7740</v>
      </c>
      <c r="E14" s="55" t="s">
        <v>167</v>
      </c>
      <c r="F14" s="55">
        <v>348990</v>
      </c>
      <c r="G14" s="55" t="s">
        <v>167</v>
      </c>
      <c r="H14" s="55">
        <v>253850</v>
      </c>
      <c r="I14" s="55" t="s">
        <v>167</v>
      </c>
      <c r="J14" s="55">
        <v>86720</v>
      </c>
      <c r="K14" s="55" t="s">
        <v>167</v>
      </c>
      <c r="L14" s="55">
        <v>77290</v>
      </c>
      <c r="M14" s="55" t="s">
        <v>167</v>
      </c>
      <c r="N14" s="55">
        <v>80220</v>
      </c>
      <c r="O14" s="55" t="s">
        <v>167</v>
      </c>
      <c r="P14" s="55">
        <v>156580</v>
      </c>
      <c r="Q14" s="76"/>
      <c r="R14" s="54" t="s">
        <v>26</v>
      </c>
      <c r="S14" s="55">
        <v>1419490</v>
      </c>
      <c r="T14" s="55" t="s">
        <v>167</v>
      </c>
      <c r="U14" s="55">
        <v>1354250</v>
      </c>
      <c r="V14" s="55" t="s">
        <v>167</v>
      </c>
      <c r="W14" s="55">
        <v>855410</v>
      </c>
      <c r="X14" s="55" t="s">
        <v>167</v>
      </c>
      <c r="Y14" s="55">
        <v>65290</v>
      </c>
      <c r="Z14" s="55" t="s">
        <v>167</v>
      </c>
      <c r="AA14" s="55">
        <v>478430</v>
      </c>
      <c r="AB14" s="55" t="s">
        <v>167</v>
      </c>
      <c r="AC14" s="55">
        <v>20410</v>
      </c>
      <c r="AD14" s="55" t="s">
        <v>167</v>
      </c>
      <c r="AE14" s="55" t="s">
        <v>186</v>
      </c>
      <c r="AF14" s="55" t="s">
        <v>167</v>
      </c>
      <c r="AG14" s="55" t="s">
        <v>186</v>
      </c>
      <c r="AH14" s="55" t="s">
        <v>187</v>
      </c>
      <c r="AI14" s="55">
        <v>7310</v>
      </c>
      <c r="AJ14" s="55" t="s">
        <v>167</v>
      </c>
      <c r="AK14" s="55">
        <v>330</v>
      </c>
      <c r="AL14" s="55" t="s">
        <v>167</v>
      </c>
      <c r="AM14" s="55">
        <v>57610</v>
      </c>
      <c r="AN14" s="55" t="s">
        <v>167</v>
      </c>
    </row>
    <row r="15" spans="1:40" x14ac:dyDescent="0.3">
      <c r="A15" s="54" t="s">
        <v>64</v>
      </c>
      <c r="B15" s="56">
        <v>3243960</v>
      </c>
      <c r="C15" s="56" t="s">
        <v>167</v>
      </c>
      <c r="D15" s="56">
        <v>1050</v>
      </c>
      <c r="E15" s="56" t="s">
        <v>167</v>
      </c>
      <c r="F15" s="56">
        <v>1533490</v>
      </c>
      <c r="G15" s="56" t="s">
        <v>167</v>
      </c>
      <c r="H15" s="56">
        <v>6830</v>
      </c>
      <c r="I15" s="56" t="s">
        <v>167</v>
      </c>
      <c r="J15" s="56">
        <v>138810</v>
      </c>
      <c r="K15" s="56" t="s">
        <v>167</v>
      </c>
      <c r="L15" s="56">
        <v>1453400</v>
      </c>
      <c r="M15" s="56" t="s">
        <v>167</v>
      </c>
      <c r="N15" s="56">
        <v>110370</v>
      </c>
      <c r="O15" s="56" t="s">
        <v>167</v>
      </c>
      <c r="P15" s="56">
        <v>940</v>
      </c>
      <c r="Q15" s="76"/>
      <c r="R15" s="54" t="s">
        <v>64</v>
      </c>
      <c r="S15" s="56">
        <v>4972450</v>
      </c>
      <c r="T15" s="56" t="s">
        <v>167</v>
      </c>
      <c r="U15" s="56">
        <v>4491860</v>
      </c>
      <c r="V15" s="56" t="s">
        <v>167</v>
      </c>
      <c r="W15" s="56">
        <v>3243960</v>
      </c>
      <c r="X15" s="56" t="s">
        <v>167</v>
      </c>
      <c r="Y15" s="56">
        <v>120170</v>
      </c>
      <c r="Z15" s="56" t="s">
        <v>167</v>
      </c>
      <c r="AA15" s="56">
        <v>1143680</v>
      </c>
      <c r="AB15" s="56" t="s">
        <v>167</v>
      </c>
      <c r="AC15" s="56">
        <v>100140</v>
      </c>
      <c r="AD15" s="56" t="s">
        <v>167</v>
      </c>
      <c r="AE15" s="56">
        <v>4070</v>
      </c>
      <c r="AF15" s="56" t="s">
        <v>167</v>
      </c>
      <c r="AG15" s="56">
        <v>20</v>
      </c>
      <c r="AH15" s="56" t="s">
        <v>167</v>
      </c>
      <c r="AI15" s="56">
        <v>15520</v>
      </c>
      <c r="AJ15" s="56" t="s">
        <v>167</v>
      </c>
      <c r="AK15" s="56">
        <v>444300</v>
      </c>
      <c r="AL15" s="56" t="s">
        <v>167</v>
      </c>
      <c r="AM15" s="56">
        <v>20750</v>
      </c>
      <c r="AN15" s="56" t="s">
        <v>167</v>
      </c>
    </row>
    <row r="16" spans="1:40" x14ac:dyDescent="0.3">
      <c r="A16" s="54" t="s">
        <v>62</v>
      </c>
      <c r="B16" s="55">
        <v>2473220</v>
      </c>
      <c r="C16" s="55" t="s">
        <v>167</v>
      </c>
      <c r="D16" s="55">
        <v>141860</v>
      </c>
      <c r="E16" s="55" t="s">
        <v>167</v>
      </c>
      <c r="F16" s="55">
        <v>1385460</v>
      </c>
      <c r="G16" s="55" t="s">
        <v>167</v>
      </c>
      <c r="H16" s="55">
        <v>101850</v>
      </c>
      <c r="I16" s="55" t="s">
        <v>167</v>
      </c>
      <c r="J16" s="55">
        <v>153530</v>
      </c>
      <c r="K16" s="55" t="s">
        <v>167</v>
      </c>
      <c r="L16" s="55">
        <v>597030</v>
      </c>
      <c r="M16" s="55" t="s">
        <v>167</v>
      </c>
      <c r="N16" s="55">
        <v>93490</v>
      </c>
      <c r="O16" s="55" t="s">
        <v>167</v>
      </c>
      <c r="P16" s="55">
        <v>151150</v>
      </c>
      <c r="Q16" s="76"/>
      <c r="R16" s="54" t="s">
        <v>62</v>
      </c>
      <c r="S16" s="55">
        <v>4846770</v>
      </c>
      <c r="T16" s="55" t="s">
        <v>167</v>
      </c>
      <c r="U16" s="55">
        <v>3455410</v>
      </c>
      <c r="V16" s="55" t="s">
        <v>167</v>
      </c>
      <c r="W16" s="55">
        <v>2473220</v>
      </c>
      <c r="X16" s="55" t="s">
        <v>167</v>
      </c>
      <c r="Y16" s="55">
        <v>448190</v>
      </c>
      <c r="Z16" s="55" t="s">
        <v>167</v>
      </c>
      <c r="AA16" s="55">
        <v>944890</v>
      </c>
      <c r="AB16" s="55" t="s">
        <v>167</v>
      </c>
      <c r="AC16" s="55">
        <v>37210</v>
      </c>
      <c r="AD16" s="55" t="s">
        <v>167</v>
      </c>
      <c r="AE16" s="55">
        <v>90</v>
      </c>
      <c r="AF16" s="55" t="s">
        <v>167</v>
      </c>
      <c r="AG16" s="55" t="s">
        <v>186</v>
      </c>
      <c r="AH16" s="55" t="s">
        <v>187</v>
      </c>
      <c r="AI16" s="55">
        <v>4830</v>
      </c>
      <c r="AJ16" s="55" t="s">
        <v>167</v>
      </c>
      <c r="AK16" s="55">
        <v>1321390</v>
      </c>
      <c r="AL16" s="55" t="s">
        <v>167</v>
      </c>
      <c r="AM16" s="55">
        <v>65150</v>
      </c>
      <c r="AN16" s="55" t="s">
        <v>167</v>
      </c>
    </row>
    <row r="17" spans="1:40" x14ac:dyDescent="0.3">
      <c r="A17" s="54" t="s">
        <v>61</v>
      </c>
      <c r="B17" s="56">
        <v>2361200</v>
      </c>
      <c r="C17" s="56" t="s">
        <v>167</v>
      </c>
      <c r="D17" s="56">
        <v>899990</v>
      </c>
      <c r="E17" s="56" t="s">
        <v>167</v>
      </c>
      <c r="F17" s="56">
        <v>943180</v>
      </c>
      <c r="G17" s="56" t="s">
        <v>167</v>
      </c>
      <c r="H17" s="56">
        <v>376450</v>
      </c>
      <c r="I17" s="56" t="s">
        <v>167</v>
      </c>
      <c r="J17" s="56">
        <v>88520</v>
      </c>
      <c r="K17" s="56" t="s">
        <v>167</v>
      </c>
      <c r="L17" s="56">
        <v>52730</v>
      </c>
      <c r="M17" s="56" t="s">
        <v>167</v>
      </c>
      <c r="N17" s="56">
        <v>330</v>
      </c>
      <c r="O17" s="56" t="s">
        <v>167</v>
      </c>
      <c r="P17" s="56">
        <v>2940</v>
      </c>
      <c r="Q17" s="76"/>
      <c r="R17" s="54" t="s">
        <v>61</v>
      </c>
      <c r="S17" s="56">
        <v>2955350</v>
      </c>
      <c r="T17" s="56" t="s">
        <v>167</v>
      </c>
      <c r="U17" s="56">
        <v>2614600</v>
      </c>
      <c r="V17" s="56" t="s">
        <v>167</v>
      </c>
      <c r="W17" s="56">
        <v>2361200</v>
      </c>
      <c r="X17" s="56" t="s">
        <v>167</v>
      </c>
      <c r="Y17" s="56">
        <v>187270</v>
      </c>
      <c r="Z17" s="56" t="s">
        <v>167</v>
      </c>
      <c r="AA17" s="56">
        <v>225620</v>
      </c>
      <c r="AB17" s="56" t="s">
        <v>167</v>
      </c>
      <c r="AC17" s="56">
        <v>27780</v>
      </c>
      <c r="AD17" s="56" t="s">
        <v>167</v>
      </c>
      <c r="AE17" s="56">
        <v>0</v>
      </c>
      <c r="AF17" s="56" t="s">
        <v>167</v>
      </c>
      <c r="AG17" s="56" t="s">
        <v>186</v>
      </c>
      <c r="AH17" s="56" t="s">
        <v>187</v>
      </c>
      <c r="AI17" s="56">
        <v>56900</v>
      </c>
      <c r="AJ17" s="56" t="s">
        <v>167</v>
      </c>
      <c r="AK17" s="56">
        <v>201250</v>
      </c>
      <c r="AL17" s="56" t="s">
        <v>167</v>
      </c>
      <c r="AM17" s="56">
        <v>82610</v>
      </c>
      <c r="AN17" s="56" t="s">
        <v>167</v>
      </c>
    </row>
    <row r="18" spans="1:40" x14ac:dyDescent="0.3">
      <c r="A18" s="54" t="s">
        <v>188</v>
      </c>
      <c r="B18" s="55">
        <v>11819330</v>
      </c>
      <c r="C18" s="55" t="s">
        <v>167</v>
      </c>
      <c r="D18" s="55">
        <v>487450</v>
      </c>
      <c r="E18" s="55" t="s">
        <v>167</v>
      </c>
      <c r="F18" s="55">
        <v>6739810</v>
      </c>
      <c r="G18" s="55" t="s">
        <v>167</v>
      </c>
      <c r="H18" s="55">
        <v>1466760</v>
      </c>
      <c r="I18" s="55" t="s">
        <v>167</v>
      </c>
      <c r="J18" s="55">
        <v>923260</v>
      </c>
      <c r="K18" s="55" t="s">
        <v>167</v>
      </c>
      <c r="L18" s="55">
        <v>1656630</v>
      </c>
      <c r="M18" s="55" t="s">
        <v>167</v>
      </c>
      <c r="N18" s="55">
        <v>545430</v>
      </c>
      <c r="O18" s="55" t="s">
        <v>167</v>
      </c>
      <c r="P18" s="55">
        <v>821160</v>
      </c>
      <c r="Q18" s="76"/>
      <c r="R18" s="54" t="s">
        <v>188</v>
      </c>
      <c r="S18" s="55">
        <v>18417580</v>
      </c>
      <c r="T18" s="55" t="s">
        <v>167</v>
      </c>
      <c r="U18" s="55">
        <v>16715320</v>
      </c>
      <c r="V18" s="55" t="s">
        <v>167</v>
      </c>
      <c r="W18" s="55">
        <v>11819330</v>
      </c>
      <c r="X18" s="55" t="s">
        <v>167</v>
      </c>
      <c r="Y18" s="55">
        <v>1147150</v>
      </c>
      <c r="Z18" s="55" t="s">
        <v>167</v>
      </c>
      <c r="AA18" s="55">
        <v>4692000</v>
      </c>
      <c r="AB18" s="55" t="s">
        <v>167</v>
      </c>
      <c r="AC18" s="55">
        <v>202140</v>
      </c>
      <c r="AD18" s="55" t="s">
        <v>167</v>
      </c>
      <c r="AE18" s="55">
        <v>1850</v>
      </c>
      <c r="AF18" s="55" t="s">
        <v>167</v>
      </c>
      <c r="AG18" s="55">
        <v>30</v>
      </c>
      <c r="AH18" s="55" t="s">
        <v>167</v>
      </c>
      <c r="AI18" s="55">
        <v>26170</v>
      </c>
      <c r="AJ18" s="55" t="s">
        <v>167</v>
      </c>
      <c r="AK18" s="55">
        <v>1404230</v>
      </c>
      <c r="AL18" s="55" t="s">
        <v>167</v>
      </c>
      <c r="AM18" s="55">
        <v>271820</v>
      </c>
      <c r="AN18" s="55" t="s">
        <v>167</v>
      </c>
    </row>
    <row r="19" spans="1:40" x14ac:dyDescent="0.3">
      <c r="A19" s="54" t="s">
        <v>63</v>
      </c>
      <c r="B19" s="56">
        <v>686560</v>
      </c>
      <c r="C19" s="56" t="s">
        <v>167</v>
      </c>
      <c r="D19" s="56">
        <v>30</v>
      </c>
      <c r="E19" s="56" t="s">
        <v>167</v>
      </c>
      <c r="F19" s="56">
        <v>148220</v>
      </c>
      <c r="G19" s="56" t="s">
        <v>167</v>
      </c>
      <c r="H19" s="56">
        <v>24320</v>
      </c>
      <c r="I19" s="56" t="s">
        <v>167</v>
      </c>
      <c r="J19" s="56">
        <v>129790</v>
      </c>
      <c r="K19" s="56" t="s">
        <v>167</v>
      </c>
      <c r="L19" s="56">
        <v>194970</v>
      </c>
      <c r="M19" s="56" t="s">
        <v>167</v>
      </c>
      <c r="N19" s="56">
        <v>189230</v>
      </c>
      <c r="O19" s="56" t="s">
        <v>167</v>
      </c>
      <c r="P19" s="56">
        <v>32830</v>
      </c>
      <c r="Q19" s="76"/>
      <c r="R19" s="54" t="s">
        <v>63</v>
      </c>
      <c r="S19" s="56">
        <v>1204560</v>
      </c>
      <c r="T19" s="56" t="s">
        <v>167</v>
      </c>
      <c r="U19" s="56">
        <v>995100</v>
      </c>
      <c r="V19" s="56" t="s">
        <v>167</v>
      </c>
      <c r="W19" s="56">
        <v>686560</v>
      </c>
      <c r="X19" s="56" t="s">
        <v>167</v>
      </c>
      <c r="Y19" s="56">
        <v>181020</v>
      </c>
      <c r="Z19" s="56" t="s">
        <v>167</v>
      </c>
      <c r="AA19" s="56">
        <v>304280</v>
      </c>
      <c r="AB19" s="56" t="s">
        <v>167</v>
      </c>
      <c r="AC19" s="56">
        <v>3470</v>
      </c>
      <c r="AD19" s="56" t="s">
        <v>167</v>
      </c>
      <c r="AE19" s="56">
        <v>790</v>
      </c>
      <c r="AF19" s="56" t="s">
        <v>167</v>
      </c>
      <c r="AG19" s="56" t="s">
        <v>186</v>
      </c>
      <c r="AH19" s="56" t="s">
        <v>167</v>
      </c>
      <c r="AI19" s="56">
        <v>3610</v>
      </c>
      <c r="AJ19" s="56" t="s">
        <v>167</v>
      </c>
      <c r="AK19" s="56">
        <v>159470</v>
      </c>
      <c r="AL19" s="56" t="s">
        <v>167</v>
      </c>
      <c r="AM19" s="56">
        <v>46370</v>
      </c>
      <c r="AN19" s="56" t="s">
        <v>167</v>
      </c>
    </row>
    <row r="20" spans="1:40" x14ac:dyDescent="0.3">
      <c r="A20" s="54" t="s">
        <v>39</v>
      </c>
      <c r="B20" s="57">
        <f>W20</f>
        <v>458290</v>
      </c>
      <c r="C20" s="55" t="s">
        <v>167</v>
      </c>
      <c r="D20" s="57">
        <f>B20-SUM(F20,H20,J20,L20,N20)</f>
        <v>153350</v>
      </c>
      <c r="E20" s="55" t="s">
        <v>167</v>
      </c>
      <c r="F20" s="55">
        <v>237000</v>
      </c>
      <c r="G20" s="55" t="s">
        <v>167</v>
      </c>
      <c r="H20" s="55">
        <v>12770</v>
      </c>
      <c r="I20" s="55" t="s">
        <v>167</v>
      </c>
      <c r="J20" s="55">
        <v>38630</v>
      </c>
      <c r="K20" s="55" t="s">
        <v>167</v>
      </c>
      <c r="L20" s="55">
        <v>5250</v>
      </c>
      <c r="M20" s="55" t="s">
        <v>167</v>
      </c>
      <c r="N20" s="55">
        <v>11290</v>
      </c>
      <c r="O20" s="55" t="s">
        <v>167</v>
      </c>
      <c r="P20" s="55">
        <v>24410</v>
      </c>
      <c r="Q20" s="76"/>
      <c r="R20" s="54" t="s">
        <v>39</v>
      </c>
      <c r="S20" s="55">
        <v>5137960</v>
      </c>
      <c r="T20" s="55" t="s">
        <v>167</v>
      </c>
      <c r="U20" s="55">
        <v>4883640</v>
      </c>
      <c r="V20" s="55" t="s">
        <v>167</v>
      </c>
      <c r="W20" s="55">
        <v>458290</v>
      </c>
      <c r="X20" s="55" t="s">
        <v>167</v>
      </c>
      <c r="Y20" s="55">
        <v>52080</v>
      </c>
      <c r="Z20" s="55" t="s">
        <v>167</v>
      </c>
      <c r="AA20" s="55">
        <v>4423590</v>
      </c>
      <c r="AB20" s="55" t="s">
        <v>167</v>
      </c>
      <c r="AC20" s="55">
        <v>1690</v>
      </c>
      <c r="AD20" s="55" t="s">
        <v>167</v>
      </c>
      <c r="AE20" s="55">
        <v>80</v>
      </c>
      <c r="AF20" s="55" t="s">
        <v>167</v>
      </c>
      <c r="AG20" s="55">
        <v>20</v>
      </c>
      <c r="AH20" s="55" t="s">
        <v>167</v>
      </c>
      <c r="AI20" s="55">
        <v>52470</v>
      </c>
      <c r="AJ20" s="55" t="s">
        <v>167</v>
      </c>
      <c r="AK20" s="55">
        <v>117260</v>
      </c>
      <c r="AL20" s="55" t="s">
        <v>167</v>
      </c>
      <c r="AM20" s="55">
        <v>84570</v>
      </c>
      <c r="AN20" s="55" t="s">
        <v>167</v>
      </c>
    </row>
    <row r="21" spans="1:40" x14ac:dyDescent="0.3">
      <c r="A21" s="54" t="s">
        <v>36</v>
      </c>
      <c r="B21" s="56">
        <v>1762250</v>
      </c>
      <c r="C21" s="56" t="s">
        <v>167</v>
      </c>
      <c r="D21" s="56">
        <v>5180</v>
      </c>
      <c r="E21" s="56" t="s">
        <v>167</v>
      </c>
      <c r="F21" s="56">
        <v>920110</v>
      </c>
      <c r="G21" s="56" t="s">
        <v>167</v>
      </c>
      <c r="H21" s="56">
        <v>7470</v>
      </c>
      <c r="I21" s="56" t="s">
        <v>167</v>
      </c>
      <c r="J21" s="56">
        <v>183630</v>
      </c>
      <c r="K21" s="56" t="s">
        <v>167</v>
      </c>
      <c r="L21" s="56">
        <v>498580</v>
      </c>
      <c r="M21" s="56" t="s">
        <v>167</v>
      </c>
      <c r="N21" s="56">
        <v>147280</v>
      </c>
      <c r="O21" s="56" t="s">
        <v>167</v>
      </c>
      <c r="P21" s="56">
        <v>7140</v>
      </c>
      <c r="Q21" s="76"/>
      <c r="R21" s="54" t="s">
        <v>36</v>
      </c>
      <c r="S21" s="56">
        <v>4735300</v>
      </c>
      <c r="T21" s="56" t="s">
        <v>167</v>
      </c>
      <c r="U21" s="56">
        <v>4553830</v>
      </c>
      <c r="V21" s="56" t="s">
        <v>167</v>
      </c>
      <c r="W21" s="56">
        <v>1762250</v>
      </c>
      <c r="X21" s="56" t="s">
        <v>167</v>
      </c>
      <c r="Y21" s="56">
        <v>123350</v>
      </c>
      <c r="Z21" s="56" t="s">
        <v>167</v>
      </c>
      <c r="AA21" s="56">
        <v>1859250</v>
      </c>
      <c r="AB21" s="56" t="s">
        <v>167</v>
      </c>
      <c r="AC21" s="56">
        <v>925300</v>
      </c>
      <c r="AD21" s="56" t="s">
        <v>167</v>
      </c>
      <c r="AE21" s="56">
        <v>7030</v>
      </c>
      <c r="AF21" s="56" t="s">
        <v>167</v>
      </c>
      <c r="AG21" s="56">
        <v>10</v>
      </c>
      <c r="AH21" s="56" t="s">
        <v>167</v>
      </c>
      <c r="AI21" s="56">
        <v>128670</v>
      </c>
      <c r="AJ21" s="56" t="s">
        <v>167</v>
      </c>
      <c r="AK21" s="56">
        <v>32750</v>
      </c>
      <c r="AL21" s="56" t="s">
        <v>167</v>
      </c>
      <c r="AM21" s="56">
        <v>20040</v>
      </c>
      <c r="AN21" s="56" t="s">
        <v>167</v>
      </c>
    </row>
    <row r="22" spans="1:40" x14ac:dyDescent="0.3">
      <c r="A22" s="54" t="s">
        <v>55</v>
      </c>
      <c r="B22" s="55">
        <v>11462910</v>
      </c>
      <c r="C22" s="55" t="s">
        <v>167</v>
      </c>
      <c r="D22" s="55">
        <v>290590</v>
      </c>
      <c r="E22" s="55" t="s">
        <v>167</v>
      </c>
      <c r="F22" s="55">
        <v>6495470</v>
      </c>
      <c r="G22" s="55" t="s">
        <v>167</v>
      </c>
      <c r="H22" s="55">
        <v>919310</v>
      </c>
      <c r="I22" s="55" t="s">
        <v>167</v>
      </c>
      <c r="J22" s="55">
        <v>981850</v>
      </c>
      <c r="K22" s="55" t="s">
        <v>167</v>
      </c>
      <c r="L22" s="55">
        <v>2637320</v>
      </c>
      <c r="M22" s="55" t="s">
        <v>167</v>
      </c>
      <c r="N22" s="55">
        <v>138380</v>
      </c>
      <c r="O22" s="55" t="s">
        <v>167</v>
      </c>
      <c r="P22" s="55">
        <v>741640</v>
      </c>
      <c r="Q22" s="76"/>
      <c r="R22" s="54" t="s">
        <v>55</v>
      </c>
      <c r="S22" s="55">
        <v>30012120</v>
      </c>
      <c r="T22" s="55" t="s">
        <v>167</v>
      </c>
      <c r="U22" s="55">
        <v>23229750</v>
      </c>
      <c r="V22" s="55" t="s">
        <v>167</v>
      </c>
      <c r="W22" s="55">
        <v>11462910</v>
      </c>
      <c r="X22" s="55" t="s">
        <v>167</v>
      </c>
      <c r="Y22" s="55">
        <v>857980</v>
      </c>
      <c r="Z22" s="55" t="s">
        <v>167</v>
      </c>
      <c r="AA22" s="55">
        <v>7615990</v>
      </c>
      <c r="AB22" s="55" t="s">
        <v>167</v>
      </c>
      <c r="AC22" s="55">
        <v>4149720</v>
      </c>
      <c r="AD22" s="55" t="s">
        <v>167</v>
      </c>
      <c r="AE22" s="55">
        <v>1120</v>
      </c>
      <c r="AF22" s="55" t="s">
        <v>167</v>
      </c>
      <c r="AG22" s="55">
        <v>30</v>
      </c>
      <c r="AH22" s="55" t="s">
        <v>167</v>
      </c>
      <c r="AI22" s="55">
        <v>220910</v>
      </c>
      <c r="AJ22" s="55" t="s">
        <v>167</v>
      </c>
      <c r="AK22" s="55">
        <v>4836260</v>
      </c>
      <c r="AL22" s="55" t="s">
        <v>167</v>
      </c>
      <c r="AM22" s="55">
        <v>1725160</v>
      </c>
      <c r="AN22" s="55" t="s">
        <v>167</v>
      </c>
    </row>
    <row r="23" spans="1:40" x14ac:dyDescent="0.3">
      <c r="A23" s="54" t="s">
        <v>34</v>
      </c>
      <c r="B23" s="56">
        <v>18249970</v>
      </c>
      <c r="C23" s="56" t="s">
        <v>167</v>
      </c>
      <c r="D23" s="56">
        <v>29920</v>
      </c>
      <c r="E23" s="56" t="s">
        <v>167</v>
      </c>
      <c r="F23" s="56">
        <v>9715010</v>
      </c>
      <c r="G23" s="56" t="s">
        <v>167</v>
      </c>
      <c r="H23" s="56">
        <v>2851640</v>
      </c>
      <c r="I23" s="56" t="s">
        <v>167</v>
      </c>
      <c r="J23" s="56">
        <v>1095540</v>
      </c>
      <c r="K23" s="56" t="s">
        <v>167</v>
      </c>
      <c r="L23" s="56">
        <v>1196540</v>
      </c>
      <c r="M23" s="56" t="s">
        <v>167</v>
      </c>
      <c r="N23" s="56">
        <v>3361330</v>
      </c>
      <c r="O23" s="56" t="s">
        <v>167</v>
      </c>
      <c r="P23" s="56">
        <v>1992730</v>
      </c>
      <c r="Q23" s="76"/>
      <c r="R23" s="54" t="s">
        <v>34</v>
      </c>
      <c r="S23" s="56">
        <v>29239400</v>
      </c>
      <c r="T23" s="56" t="s">
        <v>167</v>
      </c>
      <c r="U23" s="56">
        <v>27814160</v>
      </c>
      <c r="V23" s="56" t="s">
        <v>167</v>
      </c>
      <c r="W23" s="56">
        <v>18249970</v>
      </c>
      <c r="X23" s="56" t="s">
        <v>167</v>
      </c>
      <c r="Y23" s="56">
        <v>1375330</v>
      </c>
      <c r="Z23" s="56" t="s">
        <v>167</v>
      </c>
      <c r="AA23" s="56">
        <v>8602910</v>
      </c>
      <c r="AB23" s="56" t="s">
        <v>167</v>
      </c>
      <c r="AC23" s="56">
        <v>956890</v>
      </c>
      <c r="AD23" s="56" t="s">
        <v>167</v>
      </c>
      <c r="AE23" s="56">
        <v>4380</v>
      </c>
      <c r="AF23" s="56" t="s">
        <v>167</v>
      </c>
      <c r="AG23" s="56">
        <v>350</v>
      </c>
      <c r="AH23" s="56" t="s">
        <v>167</v>
      </c>
      <c r="AI23" s="56">
        <v>60600</v>
      </c>
      <c r="AJ23" s="56" t="s">
        <v>167</v>
      </c>
      <c r="AK23" s="56">
        <v>950470</v>
      </c>
      <c r="AL23" s="56" t="s">
        <v>167</v>
      </c>
      <c r="AM23" s="56">
        <v>413820</v>
      </c>
      <c r="AN23" s="56" t="s">
        <v>167</v>
      </c>
    </row>
    <row r="24" spans="1:40" x14ac:dyDescent="0.3">
      <c r="A24" s="54" t="s">
        <v>29</v>
      </c>
      <c r="B24" s="55">
        <v>881620</v>
      </c>
      <c r="C24" s="55" t="s">
        <v>167</v>
      </c>
      <c r="D24" s="55">
        <v>620</v>
      </c>
      <c r="E24" s="55" t="s">
        <v>167</v>
      </c>
      <c r="F24" s="55">
        <v>300450</v>
      </c>
      <c r="G24" s="55" t="s">
        <v>167</v>
      </c>
      <c r="H24" s="55">
        <v>0</v>
      </c>
      <c r="I24" s="55" t="s">
        <v>167</v>
      </c>
      <c r="J24" s="55">
        <v>40</v>
      </c>
      <c r="K24" s="55" t="s">
        <v>167</v>
      </c>
      <c r="L24" s="55">
        <v>487170</v>
      </c>
      <c r="M24" s="55" t="s">
        <v>167</v>
      </c>
      <c r="N24" s="55">
        <v>93340</v>
      </c>
      <c r="O24" s="55" t="s">
        <v>167</v>
      </c>
      <c r="P24" s="55">
        <v>14660</v>
      </c>
      <c r="Q24" s="76"/>
      <c r="R24" s="54" t="s">
        <v>29</v>
      </c>
      <c r="S24" s="55">
        <v>1688330</v>
      </c>
      <c r="T24" s="55" t="s">
        <v>167</v>
      </c>
      <c r="U24" s="55">
        <v>1562980</v>
      </c>
      <c r="V24" s="55" t="s">
        <v>167</v>
      </c>
      <c r="W24" s="55">
        <v>881620</v>
      </c>
      <c r="X24" s="55" t="s">
        <v>167</v>
      </c>
      <c r="Y24" s="55">
        <v>93290</v>
      </c>
      <c r="Z24" s="55" t="s">
        <v>167</v>
      </c>
      <c r="AA24" s="55">
        <v>607550</v>
      </c>
      <c r="AB24" s="55" t="s">
        <v>167</v>
      </c>
      <c r="AC24" s="55">
        <v>71960</v>
      </c>
      <c r="AD24" s="55" t="s">
        <v>167</v>
      </c>
      <c r="AE24" s="55">
        <v>1850</v>
      </c>
      <c r="AF24" s="55" t="s">
        <v>167</v>
      </c>
      <c r="AG24" s="55" t="s">
        <v>186</v>
      </c>
      <c r="AH24" s="55" t="s">
        <v>167</v>
      </c>
      <c r="AI24" s="55">
        <v>36560</v>
      </c>
      <c r="AJ24" s="55" t="s">
        <v>167</v>
      </c>
      <c r="AK24" s="55">
        <v>66380</v>
      </c>
      <c r="AL24" s="55" t="s">
        <v>167</v>
      </c>
      <c r="AM24" s="55">
        <v>22410</v>
      </c>
      <c r="AN24" s="55" t="s">
        <v>167</v>
      </c>
    </row>
    <row r="25" spans="1:40" x14ac:dyDescent="0.3">
      <c r="A25" s="54" t="s">
        <v>40</v>
      </c>
      <c r="B25" s="56">
        <v>7145040</v>
      </c>
      <c r="C25" s="56" t="s">
        <v>167</v>
      </c>
      <c r="D25" s="56">
        <v>1652540</v>
      </c>
      <c r="E25" s="56" t="s">
        <v>167</v>
      </c>
      <c r="F25" s="56">
        <v>3020560</v>
      </c>
      <c r="G25" s="56" t="s">
        <v>167</v>
      </c>
      <c r="H25" s="56">
        <v>113990</v>
      </c>
      <c r="I25" s="56" t="s">
        <v>167</v>
      </c>
      <c r="J25" s="56">
        <v>666770</v>
      </c>
      <c r="K25" s="56" t="s">
        <v>167</v>
      </c>
      <c r="L25" s="56">
        <v>1107740</v>
      </c>
      <c r="M25" s="56" t="s">
        <v>167</v>
      </c>
      <c r="N25" s="56">
        <v>583450</v>
      </c>
      <c r="O25" s="56" t="s">
        <v>167</v>
      </c>
      <c r="P25" s="56" t="s">
        <v>186</v>
      </c>
      <c r="Q25" s="76"/>
      <c r="R25" s="54" t="s">
        <v>40</v>
      </c>
      <c r="S25" s="56">
        <v>16525470</v>
      </c>
      <c r="T25" s="56" t="s">
        <v>189</v>
      </c>
      <c r="U25" s="56">
        <v>12598160</v>
      </c>
      <c r="V25" s="56" t="s">
        <v>189</v>
      </c>
      <c r="W25" s="56">
        <v>7145040</v>
      </c>
      <c r="X25" s="56" t="s">
        <v>189</v>
      </c>
      <c r="Y25" s="56">
        <v>1555520</v>
      </c>
      <c r="Z25" s="56" t="s">
        <v>189</v>
      </c>
      <c r="AA25" s="56">
        <v>3233230</v>
      </c>
      <c r="AB25" s="56" t="s">
        <v>189</v>
      </c>
      <c r="AC25" s="56">
        <v>2200830</v>
      </c>
      <c r="AD25" s="56" t="s">
        <v>189</v>
      </c>
      <c r="AE25" s="56">
        <v>19060</v>
      </c>
      <c r="AF25" s="56" t="s">
        <v>189</v>
      </c>
      <c r="AG25" s="56" t="s">
        <v>186</v>
      </c>
      <c r="AH25" s="56" t="s">
        <v>190</v>
      </c>
      <c r="AI25" s="56">
        <v>453710</v>
      </c>
      <c r="AJ25" s="56" t="s">
        <v>189</v>
      </c>
      <c r="AK25" s="56">
        <v>2694280</v>
      </c>
      <c r="AL25" s="56" t="s">
        <v>189</v>
      </c>
      <c r="AM25" s="56">
        <v>779070</v>
      </c>
      <c r="AN25" s="56" t="s">
        <v>189</v>
      </c>
    </row>
    <row r="26" spans="1:40" x14ac:dyDescent="0.3">
      <c r="A26" s="54" t="s">
        <v>60</v>
      </c>
      <c r="B26" s="55">
        <v>84250</v>
      </c>
      <c r="C26" s="55" t="s">
        <v>167</v>
      </c>
      <c r="D26" s="55">
        <v>2150</v>
      </c>
      <c r="E26" s="55" t="s">
        <v>167</v>
      </c>
      <c r="F26" s="55">
        <v>68110</v>
      </c>
      <c r="G26" s="55" t="s">
        <v>167</v>
      </c>
      <c r="H26" s="55">
        <v>880</v>
      </c>
      <c r="I26" s="55" t="s">
        <v>167</v>
      </c>
      <c r="J26" s="55">
        <v>450</v>
      </c>
      <c r="K26" s="55" t="s">
        <v>167</v>
      </c>
      <c r="L26" s="55">
        <v>1930</v>
      </c>
      <c r="M26" s="55" t="s">
        <v>167</v>
      </c>
      <c r="N26" s="55">
        <v>10730</v>
      </c>
      <c r="O26" s="55" t="s">
        <v>167</v>
      </c>
      <c r="P26" s="55">
        <v>100</v>
      </c>
      <c r="Q26" s="76"/>
      <c r="R26" s="54" t="s">
        <v>60</v>
      </c>
      <c r="S26" s="55">
        <v>128440</v>
      </c>
      <c r="T26" s="55" t="s">
        <v>167</v>
      </c>
      <c r="U26" s="55">
        <v>111930</v>
      </c>
      <c r="V26" s="55" t="s">
        <v>167</v>
      </c>
      <c r="W26" s="55">
        <v>84250</v>
      </c>
      <c r="X26" s="55" t="s">
        <v>167</v>
      </c>
      <c r="Y26" s="55">
        <v>3520</v>
      </c>
      <c r="Z26" s="55" t="s">
        <v>167</v>
      </c>
      <c r="AA26" s="55">
        <v>1380</v>
      </c>
      <c r="AB26" s="55" t="s">
        <v>167</v>
      </c>
      <c r="AC26" s="55">
        <v>26260</v>
      </c>
      <c r="AD26" s="55" t="s">
        <v>167</v>
      </c>
      <c r="AE26" s="55">
        <v>50</v>
      </c>
      <c r="AF26" s="55" t="s">
        <v>167</v>
      </c>
      <c r="AG26" s="55">
        <v>0</v>
      </c>
      <c r="AH26" s="55" t="s">
        <v>167</v>
      </c>
      <c r="AI26" s="55">
        <v>13750</v>
      </c>
      <c r="AJ26" s="55" t="s">
        <v>167</v>
      </c>
      <c r="AK26" s="55">
        <v>840</v>
      </c>
      <c r="AL26" s="55" t="s">
        <v>167</v>
      </c>
      <c r="AM26" s="55">
        <v>1920</v>
      </c>
      <c r="AN26" s="55" t="s">
        <v>167</v>
      </c>
    </row>
    <row r="27" spans="1:40" x14ac:dyDescent="0.3">
      <c r="A27" s="54" t="s">
        <v>41</v>
      </c>
      <c r="B27" s="56">
        <v>1284650</v>
      </c>
      <c r="C27" s="56" t="s">
        <v>167</v>
      </c>
      <c r="D27" s="56">
        <v>530</v>
      </c>
      <c r="E27" s="56" t="s">
        <v>167</v>
      </c>
      <c r="F27" s="56">
        <v>451890</v>
      </c>
      <c r="G27" s="56" t="s">
        <v>167</v>
      </c>
      <c r="H27" s="56">
        <v>56300</v>
      </c>
      <c r="I27" s="56" t="s">
        <v>167</v>
      </c>
      <c r="J27" s="56">
        <v>109290</v>
      </c>
      <c r="K27" s="56" t="s">
        <v>167</v>
      </c>
      <c r="L27" s="56">
        <v>385490</v>
      </c>
      <c r="M27" s="56" t="s">
        <v>167</v>
      </c>
      <c r="N27" s="56">
        <v>281160</v>
      </c>
      <c r="O27" s="56" t="s">
        <v>167</v>
      </c>
      <c r="P27" s="56">
        <v>39070</v>
      </c>
      <c r="Q27" s="76"/>
      <c r="R27" s="54" t="s">
        <v>41</v>
      </c>
      <c r="S27" s="56">
        <v>3028490</v>
      </c>
      <c r="T27" s="56" t="s">
        <v>167</v>
      </c>
      <c r="U27" s="56">
        <v>1930880</v>
      </c>
      <c r="V27" s="56" t="s">
        <v>167</v>
      </c>
      <c r="W27" s="56">
        <v>1284650</v>
      </c>
      <c r="X27" s="56" t="s">
        <v>167</v>
      </c>
      <c r="Y27" s="56">
        <v>256420</v>
      </c>
      <c r="Z27" s="56" t="s">
        <v>167</v>
      </c>
      <c r="AA27" s="56">
        <v>633670</v>
      </c>
      <c r="AB27" s="56" t="s">
        <v>167</v>
      </c>
      <c r="AC27" s="56">
        <v>7540</v>
      </c>
      <c r="AD27" s="56" t="s">
        <v>167</v>
      </c>
      <c r="AE27" s="56">
        <v>5010</v>
      </c>
      <c r="AF27" s="56" t="s">
        <v>167</v>
      </c>
      <c r="AG27" s="56" t="s">
        <v>186</v>
      </c>
      <c r="AH27" s="56" t="s">
        <v>187</v>
      </c>
      <c r="AI27" s="56">
        <v>103530</v>
      </c>
      <c r="AJ27" s="56" t="s">
        <v>167</v>
      </c>
      <c r="AK27" s="56">
        <v>810820</v>
      </c>
      <c r="AL27" s="56" t="s">
        <v>167</v>
      </c>
      <c r="AM27" s="56">
        <v>183250</v>
      </c>
      <c r="AN27" s="56" t="s">
        <v>167</v>
      </c>
    </row>
    <row r="28" spans="1:40" x14ac:dyDescent="0.3">
      <c r="A28" s="54" t="s">
        <v>42</v>
      </c>
      <c r="B28" s="55">
        <v>2130250</v>
      </c>
      <c r="C28" s="55" t="s">
        <v>167</v>
      </c>
      <c r="D28" s="55">
        <v>290</v>
      </c>
      <c r="E28" s="55" t="s">
        <v>167</v>
      </c>
      <c r="F28" s="55">
        <v>879160</v>
      </c>
      <c r="G28" s="55" t="s">
        <v>167</v>
      </c>
      <c r="H28" s="55">
        <v>54900</v>
      </c>
      <c r="I28" s="55" t="s">
        <v>167</v>
      </c>
      <c r="J28" s="55">
        <v>46190</v>
      </c>
      <c r="K28" s="55" t="s">
        <v>167</v>
      </c>
      <c r="L28" s="55">
        <v>992620</v>
      </c>
      <c r="M28" s="55" t="s">
        <v>167</v>
      </c>
      <c r="N28" s="55">
        <v>157090</v>
      </c>
      <c r="O28" s="55" t="s">
        <v>167</v>
      </c>
      <c r="P28" s="55">
        <v>19100</v>
      </c>
      <c r="Q28" s="76"/>
      <c r="R28" s="54" t="s">
        <v>42</v>
      </c>
      <c r="S28" s="55">
        <v>3165710</v>
      </c>
      <c r="T28" s="55" t="s">
        <v>167</v>
      </c>
      <c r="U28" s="55">
        <v>2924600</v>
      </c>
      <c r="V28" s="55" t="s">
        <v>167</v>
      </c>
      <c r="W28" s="55">
        <v>2130250</v>
      </c>
      <c r="X28" s="55" t="s">
        <v>167</v>
      </c>
      <c r="Y28" s="55">
        <v>215500</v>
      </c>
      <c r="Z28" s="55" t="s">
        <v>167</v>
      </c>
      <c r="AA28" s="55">
        <v>768820</v>
      </c>
      <c r="AB28" s="55" t="s">
        <v>167</v>
      </c>
      <c r="AC28" s="55">
        <v>25530</v>
      </c>
      <c r="AD28" s="55" t="s">
        <v>167</v>
      </c>
      <c r="AE28" s="55" t="s">
        <v>186</v>
      </c>
      <c r="AF28" s="55" t="s">
        <v>167</v>
      </c>
      <c r="AG28" s="55">
        <v>10</v>
      </c>
      <c r="AH28" s="55" t="s">
        <v>167</v>
      </c>
      <c r="AI28" s="55">
        <v>21800</v>
      </c>
      <c r="AJ28" s="55" t="s">
        <v>167</v>
      </c>
      <c r="AK28" s="55">
        <v>159390</v>
      </c>
      <c r="AL28" s="55" t="s">
        <v>167</v>
      </c>
      <c r="AM28" s="55">
        <v>59900</v>
      </c>
      <c r="AN28" s="55" t="s">
        <v>167</v>
      </c>
    </row>
    <row r="29" spans="1:40" x14ac:dyDescent="0.3">
      <c r="A29" s="54" t="s">
        <v>43</v>
      </c>
      <c r="B29" s="56">
        <v>61980</v>
      </c>
      <c r="C29" s="56" t="s">
        <v>167</v>
      </c>
      <c r="D29" s="56">
        <v>9510</v>
      </c>
      <c r="E29" s="56" t="s">
        <v>167</v>
      </c>
      <c r="F29" s="56">
        <v>34950</v>
      </c>
      <c r="G29" s="56" t="s">
        <v>167</v>
      </c>
      <c r="H29" s="56">
        <v>9430</v>
      </c>
      <c r="I29" s="56" t="s">
        <v>167</v>
      </c>
      <c r="J29" s="56">
        <v>1240</v>
      </c>
      <c r="K29" s="56" t="s">
        <v>167</v>
      </c>
      <c r="L29" s="56">
        <v>6850</v>
      </c>
      <c r="M29" s="56" t="s">
        <v>167</v>
      </c>
      <c r="N29" s="56">
        <v>0</v>
      </c>
      <c r="O29" s="56" t="s">
        <v>167</v>
      </c>
      <c r="P29" s="56">
        <v>5190</v>
      </c>
      <c r="Q29" s="76"/>
      <c r="R29" s="54" t="s">
        <v>43</v>
      </c>
      <c r="S29" s="56">
        <v>137380</v>
      </c>
      <c r="T29" s="56" t="s">
        <v>167</v>
      </c>
      <c r="U29" s="56">
        <v>130650</v>
      </c>
      <c r="V29" s="56" t="s">
        <v>167</v>
      </c>
      <c r="W29" s="56">
        <v>61980</v>
      </c>
      <c r="X29" s="56" t="s">
        <v>167</v>
      </c>
      <c r="Y29" s="56">
        <v>4540</v>
      </c>
      <c r="Z29" s="56" t="s">
        <v>167</v>
      </c>
      <c r="AA29" s="56">
        <v>67110</v>
      </c>
      <c r="AB29" s="56" t="s">
        <v>167</v>
      </c>
      <c r="AC29" s="56">
        <v>1540</v>
      </c>
      <c r="AD29" s="56" t="s">
        <v>167</v>
      </c>
      <c r="AE29" s="56">
        <v>10</v>
      </c>
      <c r="AF29" s="56" t="s">
        <v>167</v>
      </c>
      <c r="AG29" s="56" t="s">
        <v>186</v>
      </c>
      <c r="AH29" s="56" t="s">
        <v>187</v>
      </c>
      <c r="AI29" s="56">
        <v>390</v>
      </c>
      <c r="AJ29" s="56" t="s">
        <v>167</v>
      </c>
      <c r="AK29" s="56">
        <v>5860</v>
      </c>
      <c r="AL29" s="56" t="s">
        <v>167</v>
      </c>
      <c r="AM29" s="56">
        <v>480</v>
      </c>
      <c r="AN29" s="56" t="s">
        <v>167</v>
      </c>
    </row>
    <row r="30" spans="1:40" x14ac:dyDescent="0.3">
      <c r="A30" s="54" t="s">
        <v>38</v>
      </c>
      <c r="B30" s="55">
        <v>3821830</v>
      </c>
      <c r="C30" s="55" t="s">
        <v>167</v>
      </c>
      <c r="D30" s="55">
        <v>2520</v>
      </c>
      <c r="E30" s="55" t="s">
        <v>167</v>
      </c>
      <c r="F30" s="55">
        <v>1716950</v>
      </c>
      <c r="G30" s="55" t="s">
        <v>167</v>
      </c>
      <c r="H30" s="55">
        <v>95220</v>
      </c>
      <c r="I30" s="55" t="s">
        <v>167</v>
      </c>
      <c r="J30" s="55">
        <v>283480</v>
      </c>
      <c r="K30" s="55" t="s">
        <v>167</v>
      </c>
      <c r="L30" s="55">
        <v>1608920</v>
      </c>
      <c r="M30" s="55" t="s">
        <v>167</v>
      </c>
      <c r="N30" s="55">
        <v>114730</v>
      </c>
      <c r="O30" s="55" t="s">
        <v>167</v>
      </c>
      <c r="P30" s="55">
        <v>25160</v>
      </c>
      <c r="Q30" s="76"/>
      <c r="R30" s="54" t="s">
        <v>38</v>
      </c>
      <c r="S30" s="55">
        <v>6245810</v>
      </c>
      <c r="T30" s="55" t="s">
        <v>167</v>
      </c>
      <c r="U30" s="55">
        <v>4670560</v>
      </c>
      <c r="V30" s="55" t="s">
        <v>167</v>
      </c>
      <c r="W30" s="55">
        <v>3821830</v>
      </c>
      <c r="X30" s="55" t="s">
        <v>167</v>
      </c>
      <c r="Y30" s="55">
        <v>179130</v>
      </c>
      <c r="Z30" s="55" t="s">
        <v>167</v>
      </c>
      <c r="AA30" s="55">
        <v>689990</v>
      </c>
      <c r="AB30" s="55" t="s">
        <v>167</v>
      </c>
      <c r="AC30" s="55">
        <v>150260</v>
      </c>
      <c r="AD30" s="55" t="s">
        <v>167</v>
      </c>
      <c r="AE30" s="55">
        <v>8470</v>
      </c>
      <c r="AF30" s="55" t="s">
        <v>167</v>
      </c>
      <c r="AG30" s="55">
        <v>40</v>
      </c>
      <c r="AH30" s="55" t="s">
        <v>167</v>
      </c>
      <c r="AI30" s="55">
        <v>53410</v>
      </c>
      <c r="AJ30" s="55" t="s">
        <v>167</v>
      </c>
      <c r="AK30" s="55">
        <v>1323570</v>
      </c>
      <c r="AL30" s="55" t="s">
        <v>167</v>
      </c>
      <c r="AM30" s="55">
        <v>198240</v>
      </c>
      <c r="AN30" s="55" t="s">
        <v>167</v>
      </c>
    </row>
    <row r="31" spans="1:40" x14ac:dyDescent="0.3">
      <c r="A31" s="54" t="s">
        <v>44</v>
      </c>
      <c r="B31" s="56">
        <v>9110</v>
      </c>
      <c r="C31" s="56" t="s">
        <v>167</v>
      </c>
      <c r="D31" s="56">
        <v>110</v>
      </c>
      <c r="E31" s="56" t="s">
        <v>167</v>
      </c>
      <c r="F31" s="56">
        <v>8110</v>
      </c>
      <c r="G31" s="56" t="s">
        <v>167</v>
      </c>
      <c r="H31" s="56">
        <v>0</v>
      </c>
      <c r="I31" s="56" t="s">
        <v>167</v>
      </c>
      <c r="J31" s="56">
        <v>0</v>
      </c>
      <c r="K31" s="56" t="s">
        <v>167</v>
      </c>
      <c r="L31" s="56">
        <v>890</v>
      </c>
      <c r="M31" s="56" t="s">
        <v>167</v>
      </c>
      <c r="N31" s="56">
        <v>0</v>
      </c>
      <c r="O31" s="56" t="s">
        <v>167</v>
      </c>
      <c r="P31" s="56">
        <v>0</v>
      </c>
      <c r="Q31" s="76"/>
      <c r="R31" s="54" t="s">
        <v>44</v>
      </c>
      <c r="S31" s="56">
        <v>12250</v>
      </c>
      <c r="T31" s="56" t="s">
        <v>167</v>
      </c>
      <c r="U31" s="56">
        <v>11180</v>
      </c>
      <c r="V31" s="56" t="s">
        <v>167</v>
      </c>
      <c r="W31" s="56">
        <v>9110</v>
      </c>
      <c r="X31" s="56" t="s">
        <v>167</v>
      </c>
      <c r="Y31" s="56" t="s">
        <v>186</v>
      </c>
      <c r="Z31" s="56" t="s">
        <v>187</v>
      </c>
      <c r="AA31" s="56">
        <v>0</v>
      </c>
      <c r="AB31" s="56" t="s">
        <v>167</v>
      </c>
      <c r="AC31" s="56">
        <v>1310</v>
      </c>
      <c r="AD31" s="56" t="s">
        <v>167</v>
      </c>
      <c r="AE31" s="56">
        <v>750</v>
      </c>
      <c r="AF31" s="56" t="s">
        <v>167</v>
      </c>
      <c r="AG31" s="56" t="s">
        <v>186</v>
      </c>
      <c r="AH31" s="56" t="s">
        <v>187</v>
      </c>
      <c r="AI31" s="56">
        <v>120</v>
      </c>
      <c r="AJ31" s="56" t="s">
        <v>167</v>
      </c>
      <c r="AK31" s="56">
        <v>0</v>
      </c>
      <c r="AL31" s="56" t="s">
        <v>167</v>
      </c>
      <c r="AM31" s="56">
        <v>950</v>
      </c>
      <c r="AN31" s="56" t="s">
        <v>167</v>
      </c>
    </row>
    <row r="32" spans="1:40" x14ac:dyDescent="0.3">
      <c r="A32" s="54" t="s">
        <v>45</v>
      </c>
      <c r="B32" s="55">
        <v>1028170</v>
      </c>
      <c r="C32" s="55" t="s">
        <v>167</v>
      </c>
      <c r="D32" s="55">
        <v>462050</v>
      </c>
      <c r="E32" s="55" t="s">
        <v>167</v>
      </c>
      <c r="F32" s="55">
        <v>159800</v>
      </c>
      <c r="G32" s="55" t="s">
        <v>167</v>
      </c>
      <c r="H32" s="55">
        <v>199090</v>
      </c>
      <c r="I32" s="55" t="s">
        <v>167</v>
      </c>
      <c r="J32" s="55">
        <v>45430</v>
      </c>
      <c r="K32" s="55" t="s">
        <v>167</v>
      </c>
      <c r="L32" s="55">
        <v>147370</v>
      </c>
      <c r="M32" s="55" t="s">
        <v>167</v>
      </c>
      <c r="N32" s="55">
        <v>14430</v>
      </c>
      <c r="O32" s="55" t="s">
        <v>167</v>
      </c>
      <c r="P32" s="55">
        <v>132080</v>
      </c>
      <c r="Q32" s="76"/>
      <c r="R32" s="54" t="s">
        <v>45</v>
      </c>
      <c r="S32" s="55">
        <v>1963680</v>
      </c>
      <c r="T32" s="55" t="s">
        <v>167</v>
      </c>
      <c r="U32" s="55">
        <v>1796260</v>
      </c>
      <c r="V32" s="55" t="s">
        <v>167</v>
      </c>
      <c r="W32" s="55">
        <v>1028170</v>
      </c>
      <c r="X32" s="55" t="s">
        <v>167</v>
      </c>
      <c r="Y32" s="55">
        <v>52400</v>
      </c>
      <c r="Z32" s="55" t="s">
        <v>167</v>
      </c>
      <c r="AA32" s="55">
        <v>729890</v>
      </c>
      <c r="AB32" s="55" t="s">
        <v>167</v>
      </c>
      <c r="AC32" s="55">
        <v>38210</v>
      </c>
      <c r="AD32" s="55" t="s">
        <v>167</v>
      </c>
      <c r="AE32" s="55" t="s">
        <v>186</v>
      </c>
      <c r="AF32" s="55" t="s">
        <v>167</v>
      </c>
      <c r="AG32" s="55">
        <v>60</v>
      </c>
      <c r="AH32" s="55" t="s">
        <v>167</v>
      </c>
      <c r="AI32" s="55">
        <v>1220</v>
      </c>
      <c r="AJ32" s="55" t="s">
        <v>167</v>
      </c>
      <c r="AK32" s="55">
        <v>7720</v>
      </c>
      <c r="AL32" s="55" t="s">
        <v>167</v>
      </c>
      <c r="AM32" s="55">
        <v>158420</v>
      </c>
      <c r="AN32" s="55" t="s">
        <v>167</v>
      </c>
    </row>
    <row r="33" spans="1:40" x14ac:dyDescent="0.3">
      <c r="A33" s="54" t="s">
        <v>17</v>
      </c>
      <c r="B33" s="56">
        <v>1344380</v>
      </c>
      <c r="C33" s="56" t="s">
        <v>167</v>
      </c>
      <c r="D33" s="56">
        <v>690</v>
      </c>
      <c r="E33" s="56" t="s">
        <v>167</v>
      </c>
      <c r="F33" s="56">
        <v>534810</v>
      </c>
      <c r="G33" s="56" t="s">
        <v>167</v>
      </c>
      <c r="H33" s="56">
        <v>286900</v>
      </c>
      <c r="I33" s="56" t="s">
        <v>167</v>
      </c>
      <c r="J33" s="56">
        <v>51870</v>
      </c>
      <c r="K33" s="56" t="s">
        <v>167</v>
      </c>
      <c r="L33" s="56">
        <v>260120</v>
      </c>
      <c r="M33" s="56" t="s">
        <v>167</v>
      </c>
      <c r="N33" s="56">
        <v>209990</v>
      </c>
      <c r="O33" s="56" t="s">
        <v>167</v>
      </c>
      <c r="P33" s="56">
        <v>368210</v>
      </c>
      <c r="Q33" s="76"/>
      <c r="R33" s="54" t="s">
        <v>17</v>
      </c>
      <c r="S33" s="56">
        <v>5454730</v>
      </c>
      <c r="T33" s="56" t="s">
        <v>167</v>
      </c>
      <c r="U33" s="56">
        <v>2669750</v>
      </c>
      <c r="V33" s="56" t="s">
        <v>167</v>
      </c>
      <c r="W33" s="56">
        <v>1344380</v>
      </c>
      <c r="X33" s="56" t="s">
        <v>167</v>
      </c>
      <c r="Y33" s="56">
        <v>570810</v>
      </c>
      <c r="Z33" s="56" t="s">
        <v>167</v>
      </c>
      <c r="AA33" s="56">
        <v>1257740</v>
      </c>
      <c r="AB33" s="56" t="s">
        <v>167</v>
      </c>
      <c r="AC33" s="56">
        <v>66640</v>
      </c>
      <c r="AD33" s="56" t="s">
        <v>167</v>
      </c>
      <c r="AE33" s="56">
        <v>990</v>
      </c>
      <c r="AF33" s="56" t="s">
        <v>167</v>
      </c>
      <c r="AG33" s="56">
        <v>0</v>
      </c>
      <c r="AH33" s="56" t="s">
        <v>191</v>
      </c>
      <c r="AI33" s="56">
        <v>74490</v>
      </c>
      <c r="AJ33" s="56" t="s">
        <v>167</v>
      </c>
      <c r="AK33" s="56">
        <v>2090350</v>
      </c>
      <c r="AL33" s="56" t="s">
        <v>167</v>
      </c>
      <c r="AM33" s="56">
        <v>620140</v>
      </c>
      <c r="AN33" s="56" t="s">
        <v>167</v>
      </c>
    </row>
    <row r="34" spans="1:40" x14ac:dyDescent="0.3">
      <c r="A34" s="54" t="s">
        <v>46</v>
      </c>
      <c r="B34" s="55">
        <v>10805610</v>
      </c>
      <c r="C34" s="55" t="s">
        <v>167</v>
      </c>
      <c r="D34" s="55">
        <v>6120</v>
      </c>
      <c r="E34" s="55" t="s">
        <v>167</v>
      </c>
      <c r="F34" s="55">
        <v>5058570</v>
      </c>
      <c r="G34" s="55" t="s">
        <v>167</v>
      </c>
      <c r="H34" s="55">
        <v>283410</v>
      </c>
      <c r="I34" s="55" t="s">
        <v>167</v>
      </c>
      <c r="J34" s="55">
        <v>325880</v>
      </c>
      <c r="K34" s="55" t="s">
        <v>167</v>
      </c>
      <c r="L34" s="55">
        <v>4818970</v>
      </c>
      <c r="M34" s="55" t="s">
        <v>167</v>
      </c>
      <c r="N34" s="55">
        <v>312650</v>
      </c>
      <c r="O34" s="55" t="s">
        <v>167</v>
      </c>
      <c r="P34" s="55">
        <v>559990</v>
      </c>
      <c r="Q34" s="76"/>
      <c r="R34" s="54" t="s">
        <v>46</v>
      </c>
      <c r="S34" s="55">
        <v>16236440</v>
      </c>
      <c r="T34" s="55" t="s">
        <v>167</v>
      </c>
      <c r="U34" s="55">
        <v>14405650</v>
      </c>
      <c r="V34" s="55" t="s">
        <v>167</v>
      </c>
      <c r="W34" s="55">
        <v>10805610</v>
      </c>
      <c r="X34" s="55" t="s">
        <v>167</v>
      </c>
      <c r="Y34" s="55">
        <v>442560</v>
      </c>
      <c r="Z34" s="55" t="s">
        <v>167</v>
      </c>
      <c r="AA34" s="55">
        <v>3175500</v>
      </c>
      <c r="AB34" s="55" t="s">
        <v>167</v>
      </c>
      <c r="AC34" s="55">
        <v>393460</v>
      </c>
      <c r="AD34" s="55" t="s">
        <v>167</v>
      </c>
      <c r="AE34" s="55">
        <v>31080</v>
      </c>
      <c r="AF34" s="55" t="s">
        <v>167</v>
      </c>
      <c r="AG34" s="55">
        <v>240</v>
      </c>
      <c r="AH34" s="55" t="s">
        <v>167</v>
      </c>
      <c r="AI34" s="55">
        <v>137630</v>
      </c>
      <c r="AJ34" s="55" t="s">
        <v>167</v>
      </c>
      <c r="AK34" s="55">
        <v>944030</v>
      </c>
      <c r="AL34" s="55" t="s">
        <v>167</v>
      </c>
      <c r="AM34" s="55">
        <v>748880</v>
      </c>
      <c r="AN34" s="55" t="s">
        <v>167</v>
      </c>
    </row>
    <row r="35" spans="1:40" x14ac:dyDescent="0.3">
      <c r="A35" s="54" t="s">
        <v>48</v>
      </c>
      <c r="B35" s="56">
        <v>1043300</v>
      </c>
      <c r="C35" s="56" t="s">
        <v>167</v>
      </c>
      <c r="D35" s="56">
        <v>2310</v>
      </c>
      <c r="E35" s="56" t="s">
        <v>167</v>
      </c>
      <c r="F35" s="56">
        <v>542610</v>
      </c>
      <c r="G35" s="56" t="s">
        <v>167</v>
      </c>
      <c r="H35" s="56">
        <v>15700</v>
      </c>
      <c r="I35" s="56" t="s">
        <v>167</v>
      </c>
      <c r="J35" s="56">
        <v>282740</v>
      </c>
      <c r="K35" s="56" t="s">
        <v>167</v>
      </c>
      <c r="L35" s="56">
        <v>150870</v>
      </c>
      <c r="M35" s="56" t="s">
        <v>167</v>
      </c>
      <c r="N35" s="56">
        <v>49070</v>
      </c>
      <c r="O35" s="56" t="s">
        <v>167</v>
      </c>
      <c r="P35" s="56">
        <v>4760</v>
      </c>
      <c r="Q35" s="76"/>
      <c r="R35" s="54" t="s">
        <v>48</v>
      </c>
      <c r="S35" s="56">
        <v>4663170</v>
      </c>
      <c r="T35" s="56" t="s">
        <v>167</v>
      </c>
      <c r="U35" s="56">
        <v>3641690</v>
      </c>
      <c r="V35" s="56" t="s">
        <v>167</v>
      </c>
      <c r="W35" s="56">
        <v>1043300</v>
      </c>
      <c r="X35" s="56" t="s">
        <v>167</v>
      </c>
      <c r="Y35" s="56">
        <v>175350</v>
      </c>
      <c r="Z35" s="56" t="s">
        <v>167</v>
      </c>
      <c r="AA35" s="56">
        <v>1876940</v>
      </c>
      <c r="AB35" s="56" t="s">
        <v>167</v>
      </c>
      <c r="AC35" s="56">
        <v>705120</v>
      </c>
      <c r="AD35" s="56" t="s">
        <v>167</v>
      </c>
      <c r="AE35" s="56">
        <v>16330</v>
      </c>
      <c r="AF35" s="56" t="s">
        <v>167</v>
      </c>
      <c r="AG35" s="56" t="s">
        <v>186</v>
      </c>
      <c r="AH35" s="56" t="s">
        <v>167</v>
      </c>
      <c r="AI35" s="56">
        <v>98450</v>
      </c>
      <c r="AJ35" s="56" t="s">
        <v>167</v>
      </c>
      <c r="AK35" s="56">
        <v>837070</v>
      </c>
      <c r="AL35" s="56" t="s">
        <v>167</v>
      </c>
      <c r="AM35" s="56">
        <v>85960</v>
      </c>
      <c r="AN35" s="56" t="s">
        <v>167</v>
      </c>
    </row>
    <row r="36" spans="1:40" x14ac:dyDescent="0.3">
      <c r="A36" s="54" t="s">
        <v>49</v>
      </c>
      <c r="B36" s="55">
        <v>7813430</v>
      </c>
      <c r="C36" s="55" t="s">
        <v>167</v>
      </c>
      <c r="D36" s="55">
        <v>1358720</v>
      </c>
      <c r="E36" s="55" t="s">
        <v>167</v>
      </c>
      <c r="F36" s="55">
        <v>2407260</v>
      </c>
      <c r="G36" s="55" t="s">
        <v>167</v>
      </c>
      <c r="H36" s="55">
        <v>114510</v>
      </c>
      <c r="I36" s="55" t="s">
        <v>167</v>
      </c>
      <c r="J36" s="55">
        <v>810480</v>
      </c>
      <c r="K36" s="55" t="s">
        <v>167</v>
      </c>
      <c r="L36" s="55">
        <v>2593500</v>
      </c>
      <c r="M36" s="55" t="s">
        <v>167</v>
      </c>
      <c r="N36" s="55">
        <v>528970</v>
      </c>
      <c r="O36" s="55" t="s">
        <v>167</v>
      </c>
      <c r="P36" s="55">
        <v>88420</v>
      </c>
      <c r="Q36" s="76"/>
      <c r="R36" s="54" t="s">
        <v>49</v>
      </c>
      <c r="S36" s="55">
        <v>13864520</v>
      </c>
      <c r="T36" s="55" t="s">
        <v>167</v>
      </c>
      <c r="U36" s="55">
        <v>12502540</v>
      </c>
      <c r="V36" s="55" t="s">
        <v>167</v>
      </c>
      <c r="W36" s="55">
        <v>7813430</v>
      </c>
      <c r="X36" s="55" t="s">
        <v>167</v>
      </c>
      <c r="Y36" s="55">
        <v>103170</v>
      </c>
      <c r="Z36" s="55" t="s">
        <v>167</v>
      </c>
      <c r="AA36" s="55">
        <v>4245420</v>
      </c>
      <c r="AB36" s="55" t="s">
        <v>167</v>
      </c>
      <c r="AC36" s="55">
        <v>301350</v>
      </c>
      <c r="AD36" s="55" t="s">
        <v>167</v>
      </c>
      <c r="AE36" s="55">
        <v>142330</v>
      </c>
      <c r="AF36" s="55" t="s">
        <v>167</v>
      </c>
      <c r="AG36" s="55">
        <v>10</v>
      </c>
      <c r="AH36" s="55" t="s">
        <v>167</v>
      </c>
      <c r="AI36" s="55">
        <v>104170</v>
      </c>
      <c r="AJ36" s="55" t="s">
        <v>167</v>
      </c>
      <c r="AK36" s="55">
        <v>1027250</v>
      </c>
      <c r="AL36" s="55" t="s">
        <v>167</v>
      </c>
      <c r="AM36" s="55">
        <v>230560</v>
      </c>
      <c r="AN36" s="55" t="s">
        <v>167</v>
      </c>
    </row>
    <row r="37" spans="1:40" x14ac:dyDescent="0.3">
      <c r="A37" s="54" t="s">
        <v>53</v>
      </c>
      <c r="B37" s="57">
        <f>W37</f>
        <v>175120</v>
      </c>
      <c r="C37" s="56" t="s">
        <v>167</v>
      </c>
      <c r="D37" s="57">
        <f>B37-SUM(F37,H37,J37,L37,N37)</f>
        <v>220</v>
      </c>
      <c r="E37" s="56" t="s">
        <v>167</v>
      </c>
      <c r="F37" s="56">
        <v>80790</v>
      </c>
      <c r="G37" s="56" t="s">
        <v>167</v>
      </c>
      <c r="H37" s="56">
        <v>21350</v>
      </c>
      <c r="I37" s="56" t="s">
        <v>167</v>
      </c>
      <c r="J37" s="56">
        <v>11020</v>
      </c>
      <c r="K37" s="56" t="s">
        <v>167</v>
      </c>
      <c r="L37" s="56">
        <v>40670</v>
      </c>
      <c r="M37" s="56" t="s">
        <v>167</v>
      </c>
      <c r="N37" s="56">
        <v>21070</v>
      </c>
      <c r="O37" s="56" t="s">
        <v>167</v>
      </c>
      <c r="P37" s="56">
        <v>11650</v>
      </c>
      <c r="Q37" s="76"/>
      <c r="R37" s="54" t="s">
        <v>53</v>
      </c>
      <c r="S37" s="56">
        <v>906460</v>
      </c>
      <c r="T37" s="56" t="s">
        <v>167</v>
      </c>
      <c r="U37" s="56">
        <v>488400</v>
      </c>
      <c r="V37" s="56" t="s">
        <v>167</v>
      </c>
      <c r="W37" s="56">
        <v>175120</v>
      </c>
      <c r="X37" s="56" t="s">
        <v>167</v>
      </c>
      <c r="Y37" s="56">
        <v>46320</v>
      </c>
      <c r="Z37" s="56" t="s">
        <v>167</v>
      </c>
      <c r="AA37" s="56">
        <v>285060</v>
      </c>
      <c r="AB37" s="56" t="s">
        <v>167</v>
      </c>
      <c r="AC37" s="56">
        <v>26830</v>
      </c>
      <c r="AD37" s="56" t="s">
        <v>167</v>
      </c>
      <c r="AE37" s="56">
        <v>1390</v>
      </c>
      <c r="AF37" s="56" t="s">
        <v>167</v>
      </c>
      <c r="AG37" s="56" t="s">
        <v>186</v>
      </c>
      <c r="AH37" s="56" t="s">
        <v>187</v>
      </c>
      <c r="AI37" s="56">
        <v>15050</v>
      </c>
      <c r="AJ37" s="56" t="s">
        <v>167</v>
      </c>
      <c r="AK37" s="56">
        <v>387870</v>
      </c>
      <c r="AL37" s="56" t="s">
        <v>167</v>
      </c>
      <c r="AM37" s="56">
        <v>15140</v>
      </c>
      <c r="AN37" s="56" t="s">
        <v>167</v>
      </c>
    </row>
    <row r="38" spans="1:40" x14ac:dyDescent="0.3">
      <c r="A38" s="54" t="s">
        <v>51</v>
      </c>
      <c r="B38" s="55">
        <v>1346500</v>
      </c>
      <c r="C38" s="55" t="s">
        <v>167</v>
      </c>
      <c r="D38" s="55">
        <v>1180</v>
      </c>
      <c r="E38" s="55" t="s">
        <v>167</v>
      </c>
      <c r="F38" s="55">
        <v>539840</v>
      </c>
      <c r="G38" s="55" t="s">
        <v>167</v>
      </c>
      <c r="H38" s="55">
        <v>29430</v>
      </c>
      <c r="I38" s="55" t="s">
        <v>167</v>
      </c>
      <c r="J38" s="55">
        <v>65810</v>
      </c>
      <c r="K38" s="55" t="s">
        <v>167</v>
      </c>
      <c r="L38" s="55">
        <v>579480</v>
      </c>
      <c r="M38" s="55" t="s">
        <v>167</v>
      </c>
      <c r="N38" s="55">
        <v>130770</v>
      </c>
      <c r="O38" s="55" t="s">
        <v>167</v>
      </c>
      <c r="P38" s="55">
        <v>40030</v>
      </c>
      <c r="Q38" s="76"/>
      <c r="R38" s="54" t="s">
        <v>51</v>
      </c>
      <c r="S38" s="55">
        <v>3077470</v>
      </c>
      <c r="T38" s="55" t="s">
        <v>167</v>
      </c>
      <c r="U38" s="55">
        <v>1889820</v>
      </c>
      <c r="V38" s="55" t="s">
        <v>167</v>
      </c>
      <c r="W38" s="55">
        <v>1346500</v>
      </c>
      <c r="X38" s="55" t="s">
        <v>167</v>
      </c>
      <c r="Y38" s="55">
        <v>187840</v>
      </c>
      <c r="Z38" s="55" t="s">
        <v>167</v>
      </c>
      <c r="AA38" s="55">
        <v>524530</v>
      </c>
      <c r="AB38" s="55" t="s">
        <v>167</v>
      </c>
      <c r="AC38" s="55">
        <v>18360</v>
      </c>
      <c r="AD38" s="55" t="s">
        <v>167</v>
      </c>
      <c r="AE38" s="55">
        <v>430</v>
      </c>
      <c r="AF38" s="55" t="s">
        <v>167</v>
      </c>
      <c r="AG38" s="55" t="s">
        <v>186</v>
      </c>
      <c r="AH38" s="55" t="s">
        <v>187</v>
      </c>
      <c r="AI38" s="55">
        <v>16470</v>
      </c>
      <c r="AJ38" s="55" t="s">
        <v>167</v>
      </c>
      <c r="AK38" s="55">
        <v>1143460</v>
      </c>
      <c r="AL38" s="55" t="s">
        <v>167</v>
      </c>
      <c r="AM38" s="55">
        <v>27730</v>
      </c>
      <c r="AN38" s="55" t="s">
        <v>167</v>
      </c>
    </row>
    <row r="39" spans="1:40" x14ac:dyDescent="0.3">
      <c r="A39" s="54" t="s">
        <v>31</v>
      </c>
      <c r="B39" s="57">
        <f>W39</f>
        <v>2164960</v>
      </c>
      <c r="C39" s="56" t="s">
        <v>167</v>
      </c>
      <c r="D39" s="57">
        <f>B39-SUM(F39,H39,J39,L39,N39)</f>
        <v>868770</v>
      </c>
      <c r="E39" s="56" t="s">
        <v>167</v>
      </c>
      <c r="F39" s="56">
        <v>63470</v>
      </c>
      <c r="G39" s="56" t="s">
        <v>167</v>
      </c>
      <c r="H39" s="56">
        <v>100370</v>
      </c>
      <c r="I39" s="56" t="s">
        <v>167</v>
      </c>
      <c r="J39" s="56">
        <v>418180</v>
      </c>
      <c r="K39" s="56" t="s">
        <v>167</v>
      </c>
      <c r="L39" s="56">
        <v>489780</v>
      </c>
      <c r="M39" s="56" t="s">
        <v>167</v>
      </c>
      <c r="N39" s="56">
        <v>224390</v>
      </c>
      <c r="O39" s="56" t="s">
        <v>167</v>
      </c>
      <c r="P39" s="56">
        <v>25610</v>
      </c>
      <c r="Q39" s="76"/>
      <c r="R39" s="54" t="s">
        <v>31</v>
      </c>
      <c r="S39" s="56">
        <v>5483120</v>
      </c>
      <c r="T39" s="56" t="s">
        <v>167</v>
      </c>
      <c r="U39" s="56">
        <v>2194210</v>
      </c>
      <c r="V39" s="56" t="s">
        <v>167</v>
      </c>
      <c r="W39" s="56">
        <v>2164960</v>
      </c>
      <c r="X39" s="56" t="s">
        <v>167</v>
      </c>
      <c r="Y39" s="56">
        <v>227710</v>
      </c>
      <c r="Z39" s="56" t="s">
        <v>167</v>
      </c>
      <c r="AA39" s="56">
        <v>25590</v>
      </c>
      <c r="AB39" s="56" t="s">
        <v>167</v>
      </c>
      <c r="AC39" s="56">
        <v>3650</v>
      </c>
      <c r="AD39" s="56" t="s">
        <v>167</v>
      </c>
      <c r="AE39" s="56" t="s">
        <v>186</v>
      </c>
      <c r="AF39" s="56" t="s">
        <v>167</v>
      </c>
      <c r="AG39" s="56" t="s">
        <v>186</v>
      </c>
      <c r="AH39" s="56" t="s">
        <v>187</v>
      </c>
      <c r="AI39" s="56">
        <v>0</v>
      </c>
      <c r="AJ39" s="56" t="s">
        <v>167</v>
      </c>
      <c r="AK39" s="56">
        <v>2627770</v>
      </c>
      <c r="AL39" s="56" t="s">
        <v>167</v>
      </c>
      <c r="AM39" s="56">
        <v>661140</v>
      </c>
      <c r="AN39" s="56" t="s">
        <v>167</v>
      </c>
    </row>
    <row r="40" spans="1:40" x14ac:dyDescent="0.3">
      <c r="A40" s="54" t="s">
        <v>56</v>
      </c>
      <c r="B40" s="57">
        <f>W40</f>
        <v>2565450</v>
      </c>
      <c r="C40" s="55" t="s">
        <v>167</v>
      </c>
      <c r="D40" s="57">
        <f>B40-SUM(F40,H40,J40,L40,N40)</f>
        <v>1439790</v>
      </c>
      <c r="E40" s="55" t="s">
        <v>167</v>
      </c>
      <c r="F40" s="55">
        <v>542550</v>
      </c>
      <c r="G40" s="55" t="s">
        <v>167</v>
      </c>
      <c r="H40" s="55">
        <v>49060</v>
      </c>
      <c r="I40" s="55" t="s">
        <v>167</v>
      </c>
      <c r="J40" s="55">
        <v>102830</v>
      </c>
      <c r="K40" s="55" t="s">
        <v>167</v>
      </c>
      <c r="L40" s="55">
        <v>286870</v>
      </c>
      <c r="M40" s="55" t="s">
        <v>167</v>
      </c>
      <c r="N40" s="55">
        <v>144350</v>
      </c>
      <c r="O40" s="55" t="s">
        <v>167</v>
      </c>
      <c r="P40" s="55">
        <v>100580</v>
      </c>
      <c r="Q40" s="76"/>
      <c r="R40" s="54" t="s">
        <v>56</v>
      </c>
      <c r="S40" s="55">
        <v>6365560</v>
      </c>
      <c r="T40" s="55" t="s">
        <v>167</v>
      </c>
      <c r="U40" s="55">
        <v>3021350</v>
      </c>
      <c r="V40" s="55" t="s">
        <v>167</v>
      </c>
      <c r="W40" s="55">
        <v>2565450</v>
      </c>
      <c r="X40" s="55" t="s">
        <v>167</v>
      </c>
      <c r="Y40" s="55">
        <v>563290</v>
      </c>
      <c r="Z40" s="55" t="s">
        <v>167</v>
      </c>
      <c r="AA40" s="55">
        <v>451940</v>
      </c>
      <c r="AB40" s="55" t="s">
        <v>167</v>
      </c>
      <c r="AC40" s="55">
        <v>3960</v>
      </c>
      <c r="AD40" s="55" t="s">
        <v>167</v>
      </c>
      <c r="AE40" s="55" t="s">
        <v>186</v>
      </c>
      <c r="AF40" s="55" t="s">
        <v>167</v>
      </c>
      <c r="AG40" s="55" t="s">
        <v>186</v>
      </c>
      <c r="AH40" s="55" t="s">
        <v>167</v>
      </c>
      <c r="AI40" s="55" t="s">
        <v>186</v>
      </c>
      <c r="AJ40" s="55" t="s">
        <v>167</v>
      </c>
      <c r="AK40" s="55">
        <v>3336930</v>
      </c>
      <c r="AL40" s="55" t="s">
        <v>167</v>
      </c>
      <c r="AM40" s="55">
        <v>7270</v>
      </c>
      <c r="AN40" s="55" t="s">
        <v>167</v>
      </c>
    </row>
    <row r="41" spans="1:40" x14ac:dyDescent="0.3">
      <c r="A41" s="54" t="s">
        <v>192</v>
      </c>
      <c r="B41" s="56" t="s">
        <v>186</v>
      </c>
      <c r="C41" s="56" t="s">
        <v>167</v>
      </c>
      <c r="D41" s="56" t="s">
        <v>186</v>
      </c>
      <c r="E41" s="56" t="s">
        <v>167</v>
      </c>
      <c r="F41" s="56">
        <v>2786320</v>
      </c>
      <c r="G41" s="56" t="s">
        <v>167</v>
      </c>
      <c r="H41" s="56">
        <v>188520</v>
      </c>
      <c r="I41" s="56" t="s">
        <v>167</v>
      </c>
      <c r="J41" s="56">
        <v>778780</v>
      </c>
      <c r="K41" s="56" t="s">
        <v>167</v>
      </c>
      <c r="L41" s="56">
        <v>418810</v>
      </c>
      <c r="M41" s="56" t="s">
        <v>167</v>
      </c>
      <c r="N41" s="56">
        <v>72680</v>
      </c>
      <c r="O41" s="56" t="s">
        <v>167</v>
      </c>
      <c r="P41" s="56">
        <v>89920</v>
      </c>
      <c r="Q41" s="76"/>
      <c r="R41" s="54" t="s">
        <v>192</v>
      </c>
      <c r="S41" s="56">
        <v>18232910</v>
      </c>
      <c r="T41" s="56" t="s">
        <v>167</v>
      </c>
      <c r="U41" s="56">
        <v>16332230</v>
      </c>
      <c r="V41" s="56" t="s">
        <v>167</v>
      </c>
      <c r="W41" s="56">
        <v>6027340</v>
      </c>
      <c r="X41" s="56" t="s">
        <v>167</v>
      </c>
      <c r="Y41" s="56">
        <v>294490</v>
      </c>
      <c r="Z41" s="56" t="s">
        <v>167</v>
      </c>
      <c r="AA41" s="56">
        <v>10266980</v>
      </c>
      <c r="AB41" s="56" t="s">
        <v>167</v>
      </c>
      <c r="AC41" s="56">
        <v>37900</v>
      </c>
      <c r="AD41" s="56" t="s">
        <v>167</v>
      </c>
      <c r="AE41" s="56">
        <v>0</v>
      </c>
      <c r="AF41" s="56" t="s">
        <v>167</v>
      </c>
      <c r="AG41" s="56">
        <v>10</v>
      </c>
      <c r="AH41" s="56" t="s">
        <v>167</v>
      </c>
      <c r="AI41" s="56">
        <v>743190</v>
      </c>
      <c r="AJ41" s="56" t="s">
        <v>167</v>
      </c>
      <c r="AK41" s="56">
        <v>841270</v>
      </c>
      <c r="AL41" s="56" t="s">
        <v>167</v>
      </c>
      <c r="AM41" s="56">
        <v>316210</v>
      </c>
      <c r="AN41" s="56" t="s">
        <v>167</v>
      </c>
    </row>
    <row r="42" spans="1:40" x14ac:dyDescent="0.3">
      <c r="A42" s="76"/>
      <c r="B42" s="76"/>
      <c r="C42" s="76"/>
      <c r="D42" s="76"/>
      <c r="E42" s="76"/>
      <c r="F42" s="76"/>
      <c r="G42" s="76"/>
      <c r="H42" s="76"/>
      <c r="I42" s="76"/>
      <c r="J42" s="76"/>
      <c r="K42" s="76"/>
      <c r="L42" s="76"/>
      <c r="M42" s="76"/>
      <c r="N42" s="76"/>
      <c r="O42" s="76"/>
      <c r="P42" s="76"/>
      <c r="Q42" s="76"/>
      <c r="R42" s="54" t="s">
        <v>193</v>
      </c>
      <c r="S42" s="55" t="s">
        <v>186</v>
      </c>
      <c r="T42" s="55" t="s">
        <v>167</v>
      </c>
      <c r="U42" s="55" t="s">
        <v>186</v>
      </c>
      <c r="V42" s="55" t="s">
        <v>167</v>
      </c>
      <c r="W42" s="55" t="s">
        <v>186</v>
      </c>
      <c r="X42" s="55" t="s">
        <v>167</v>
      </c>
      <c r="Y42" s="55" t="s">
        <v>186</v>
      </c>
      <c r="Z42" s="55" t="s">
        <v>167</v>
      </c>
      <c r="AA42" s="55" t="s">
        <v>186</v>
      </c>
      <c r="AB42" s="55" t="s">
        <v>167</v>
      </c>
      <c r="AC42" s="55" t="s">
        <v>186</v>
      </c>
      <c r="AD42" s="55" t="s">
        <v>167</v>
      </c>
      <c r="AE42" s="55" t="s">
        <v>186</v>
      </c>
      <c r="AF42" s="55" t="s">
        <v>167</v>
      </c>
      <c r="AG42" s="55" t="s">
        <v>186</v>
      </c>
      <c r="AH42" s="55" t="s">
        <v>167</v>
      </c>
      <c r="AI42" s="55" t="s">
        <v>186</v>
      </c>
      <c r="AJ42" s="55" t="s">
        <v>167</v>
      </c>
      <c r="AK42" s="55" t="s">
        <v>186</v>
      </c>
      <c r="AL42" s="55" t="s">
        <v>167</v>
      </c>
      <c r="AM42" s="55" t="s">
        <v>186</v>
      </c>
      <c r="AN42" s="55" t="s">
        <v>167</v>
      </c>
    </row>
    <row r="43" spans="1:40" x14ac:dyDescent="0.3">
      <c r="A43" s="50" t="s">
        <v>194</v>
      </c>
      <c r="B43" s="76"/>
      <c r="C43" s="76"/>
      <c r="D43" s="76"/>
      <c r="E43" s="76"/>
      <c r="F43" s="76"/>
      <c r="G43" s="76"/>
      <c r="H43" s="76"/>
      <c r="I43" s="76"/>
      <c r="J43" s="76"/>
      <c r="K43" s="76"/>
      <c r="L43" s="76"/>
      <c r="M43" s="76"/>
      <c r="N43" s="76"/>
      <c r="O43" s="76"/>
      <c r="P43" s="76"/>
      <c r="Q43" s="76"/>
      <c r="R43" s="54" t="s">
        <v>195</v>
      </c>
      <c r="S43" s="56" t="s">
        <v>186</v>
      </c>
      <c r="T43" s="56" t="s">
        <v>167</v>
      </c>
      <c r="U43" s="56" t="s">
        <v>186</v>
      </c>
      <c r="V43" s="56" t="s">
        <v>167</v>
      </c>
      <c r="W43" s="56" t="s">
        <v>186</v>
      </c>
      <c r="X43" s="56" t="s">
        <v>167</v>
      </c>
      <c r="Y43" s="56" t="s">
        <v>186</v>
      </c>
      <c r="Z43" s="56" t="s">
        <v>167</v>
      </c>
      <c r="AA43" s="56" t="s">
        <v>186</v>
      </c>
      <c r="AB43" s="56" t="s">
        <v>167</v>
      </c>
      <c r="AC43" s="56" t="s">
        <v>186</v>
      </c>
      <c r="AD43" s="56" t="s">
        <v>167</v>
      </c>
      <c r="AE43" s="56" t="s">
        <v>186</v>
      </c>
      <c r="AF43" s="56" t="s">
        <v>167</v>
      </c>
      <c r="AG43" s="56" t="s">
        <v>186</v>
      </c>
      <c r="AH43" s="56" t="s">
        <v>167</v>
      </c>
      <c r="AI43" s="56" t="s">
        <v>186</v>
      </c>
      <c r="AJ43" s="56" t="s">
        <v>167</v>
      </c>
      <c r="AK43" s="56" t="s">
        <v>186</v>
      </c>
      <c r="AL43" s="56" t="s">
        <v>167</v>
      </c>
      <c r="AM43" s="56" t="s">
        <v>186</v>
      </c>
      <c r="AN43" s="56" t="s">
        <v>167</v>
      </c>
    </row>
    <row r="44" spans="1:40" x14ac:dyDescent="0.3">
      <c r="A44" s="50" t="s">
        <v>186</v>
      </c>
      <c r="B44" s="49" t="s">
        <v>196</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row>
    <row r="45" spans="1:40" x14ac:dyDescent="0.3">
      <c r="A45" s="76"/>
      <c r="B45" s="76"/>
      <c r="C45" s="76"/>
      <c r="D45" s="76"/>
      <c r="E45" s="76"/>
      <c r="F45" s="76"/>
      <c r="G45" s="76"/>
      <c r="H45" s="76"/>
      <c r="I45" s="76"/>
      <c r="J45" s="76"/>
      <c r="K45" s="76"/>
      <c r="L45" s="76"/>
      <c r="M45" s="76"/>
      <c r="N45" s="76"/>
      <c r="O45" s="76"/>
      <c r="P45" s="76"/>
      <c r="Q45" s="76"/>
      <c r="R45" s="50" t="s">
        <v>194</v>
      </c>
      <c r="S45" s="76"/>
      <c r="T45" s="76"/>
      <c r="U45" s="76"/>
      <c r="V45" s="76"/>
      <c r="W45" s="76"/>
      <c r="X45" s="76"/>
      <c r="Y45" s="76"/>
      <c r="Z45" s="76"/>
      <c r="AA45" s="76"/>
      <c r="AB45" s="76"/>
      <c r="AC45" s="76"/>
      <c r="AD45" s="76"/>
      <c r="AE45" s="76"/>
      <c r="AF45" s="76"/>
      <c r="AG45" s="76"/>
      <c r="AH45" s="76"/>
      <c r="AI45" s="76"/>
      <c r="AJ45" s="76"/>
      <c r="AK45" s="76"/>
      <c r="AL45" s="76"/>
      <c r="AM45" s="76"/>
      <c r="AN45" s="76"/>
    </row>
    <row r="46" spans="1:40" x14ac:dyDescent="0.3">
      <c r="A46" s="76"/>
      <c r="B46" s="76"/>
      <c r="C46" s="76"/>
      <c r="D46" s="76"/>
      <c r="E46" s="76"/>
      <c r="F46" s="76"/>
      <c r="G46" s="76"/>
      <c r="H46" s="76"/>
      <c r="I46" s="76"/>
      <c r="J46" s="76"/>
      <c r="K46" s="76"/>
      <c r="L46" s="76"/>
      <c r="M46" s="76"/>
      <c r="N46" s="76"/>
      <c r="O46" s="76"/>
      <c r="P46" s="76"/>
      <c r="Q46" s="76"/>
      <c r="R46" s="50" t="s">
        <v>186</v>
      </c>
      <c r="S46" s="49" t="s">
        <v>196</v>
      </c>
      <c r="T46" s="76"/>
      <c r="U46" s="76"/>
      <c r="V46" s="76"/>
      <c r="W46" s="76"/>
      <c r="X46" s="76"/>
      <c r="Y46" s="76"/>
      <c r="Z46" s="76"/>
      <c r="AA46" s="76"/>
      <c r="AB46" s="76"/>
      <c r="AC46" s="76"/>
      <c r="AD46" s="76"/>
      <c r="AE46" s="76"/>
      <c r="AF46" s="76"/>
      <c r="AG46" s="76"/>
      <c r="AH46" s="76"/>
      <c r="AI46" s="76"/>
      <c r="AJ46" s="76"/>
      <c r="AK46" s="76"/>
      <c r="AL46" s="76"/>
      <c r="AM46" s="76"/>
      <c r="AN46" s="76"/>
    </row>
    <row r="47" spans="1:40" x14ac:dyDescent="0.3">
      <c r="A47" s="76"/>
      <c r="B47" s="76"/>
      <c r="C47" s="76"/>
      <c r="D47" s="76"/>
      <c r="E47" s="76"/>
      <c r="F47" s="76"/>
      <c r="G47" s="76"/>
      <c r="H47" s="76"/>
      <c r="I47" s="76"/>
      <c r="J47" s="76"/>
      <c r="K47" s="76"/>
      <c r="L47" s="76"/>
      <c r="M47" s="76"/>
      <c r="N47" s="76"/>
      <c r="O47" s="76"/>
      <c r="P47" s="76"/>
      <c r="Q47" s="76"/>
      <c r="R47" s="50" t="s">
        <v>197</v>
      </c>
      <c r="S47" s="76"/>
      <c r="T47" s="76"/>
      <c r="U47" s="76"/>
      <c r="V47" s="76"/>
      <c r="W47" s="76"/>
      <c r="X47" s="76"/>
      <c r="Y47" s="76"/>
      <c r="Z47" s="76"/>
      <c r="AA47" s="76"/>
      <c r="AB47" s="76"/>
      <c r="AC47" s="76"/>
      <c r="AD47" s="76"/>
      <c r="AE47" s="76"/>
      <c r="AF47" s="76"/>
      <c r="AG47" s="76"/>
      <c r="AH47" s="76"/>
      <c r="AI47" s="76"/>
      <c r="AJ47" s="76"/>
      <c r="AK47" s="76"/>
      <c r="AL47" s="76"/>
      <c r="AM47" s="76"/>
      <c r="AN47" s="76"/>
    </row>
    <row r="48" spans="1:40" x14ac:dyDescent="0.3">
      <c r="A48" s="76"/>
      <c r="B48" s="76"/>
      <c r="C48" s="76"/>
      <c r="D48" s="76"/>
      <c r="E48" s="76"/>
      <c r="F48" s="76"/>
      <c r="G48" s="76"/>
      <c r="H48" s="76"/>
      <c r="I48" s="76"/>
      <c r="J48" s="76"/>
      <c r="K48" s="76"/>
      <c r="L48" s="76"/>
      <c r="M48" s="76"/>
      <c r="N48" s="76"/>
      <c r="O48" s="76"/>
      <c r="P48" s="76"/>
      <c r="Q48" s="76"/>
      <c r="R48" s="50" t="s">
        <v>190</v>
      </c>
      <c r="S48" s="49" t="s">
        <v>198</v>
      </c>
      <c r="T48" s="76"/>
      <c r="U48" s="76"/>
      <c r="V48" s="76"/>
      <c r="W48" s="76"/>
      <c r="X48" s="76"/>
      <c r="Y48" s="76"/>
      <c r="Z48" s="76"/>
      <c r="AA48" s="76"/>
      <c r="AB48" s="76"/>
      <c r="AC48" s="76"/>
      <c r="AD48" s="76"/>
      <c r="AE48" s="76"/>
      <c r="AF48" s="76"/>
      <c r="AG48" s="76"/>
      <c r="AH48" s="76"/>
      <c r="AI48" s="76"/>
      <c r="AJ48" s="76"/>
      <c r="AK48" s="76"/>
      <c r="AL48" s="76"/>
      <c r="AM48" s="76"/>
      <c r="AN48" s="76"/>
    </row>
    <row r="49" spans="18:40" x14ac:dyDescent="0.3">
      <c r="R49" s="50" t="s">
        <v>187</v>
      </c>
      <c r="S49" s="49" t="s">
        <v>199</v>
      </c>
      <c r="T49" s="76"/>
      <c r="U49" s="76"/>
      <c r="V49" s="76"/>
      <c r="W49" s="76"/>
      <c r="X49" s="76"/>
      <c r="Y49" s="76"/>
      <c r="Z49" s="76"/>
      <c r="AA49" s="76"/>
      <c r="AB49" s="76"/>
      <c r="AC49" s="76"/>
      <c r="AD49" s="76"/>
      <c r="AE49" s="76"/>
      <c r="AF49" s="76"/>
      <c r="AG49" s="76"/>
      <c r="AH49" s="76"/>
      <c r="AI49" s="76"/>
      <c r="AJ49" s="76"/>
      <c r="AK49" s="76"/>
      <c r="AL49" s="76"/>
      <c r="AM49" s="76"/>
      <c r="AN49" s="76"/>
    </row>
    <row r="50" spans="18:40" x14ac:dyDescent="0.3">
      <c r="R50" s="50" t="s">
        <v>191</v>
      </c>
      <c r="S50" s="49" t="s">
        <v>200</v>
      </c>
      <c r="T50" s="76"/>
      <c r="U50" s="76"/>
      <c r="V50" s="76"/>
      <c r="W50" s="76"/>
      <c r="X50" s="76"/>
      <c r="Y50" s="76"/>
      <c r="Z50" s="76"/>
      <c r="AA50" s="76"/>
      <c r="AB50" s="76"/>
      <c r="AC50" s="76"/>
      <c r="AD50" s="76"/>
      <c r="AE50" s="76"/>
      <c r="AF50" s="76"/>
      <c r="AG50" s="76"/>
      <c r="AH50" s="76"/>
      <c r="AI50" s="76"/>
      <c r="AJ50" s="76"/>
      <c r="AK50" s="76"/>
      <c r="AL50" s="76"/>
      <c r="AM50" s="76"/>
      <c r="AN50" s="76"/>
    </row>
    <row r="51" spans="18:40" x14ac:dyDescent="0.3">
      <c r="R51" s="50" t="s">
        <v>189</v>
      </c>
      <c r="S51" s="49" t="s">
        <v>201</v>
      </c>
      <c r="T51" s="76"/>
      <c r="U51" s="76"/>
      <c r="V51" s="76"/>
      <c r="W51" s="76"/>
      <c r="X51" s="76"/>
      <c r="Y51" s="76"/>
      <c r="Z51" s="76"/>
      <c r="AA51" s="76"/>
      <c r="AB51" s="76"/>
      <c r="AC51" s="76"/>
      <c r="AD51" s="76"/>
      <c r="AE51" s="76"/>
      <c r="AF51" s="76"/>
      <c r="AG51" s="76"/>
      <c r="AH51" s="76"/>
      <c r="AI51" s="76"/>
      <c r="AJ51" s="76"/>
      <c r="AK51" s="76"/>
      <c r="AL51" s="76"/>
      <c r="AM51" s="76"/>
      <c r="AN51" s="76"/>
    </row>
  </sheetData>
  <mergeCells count="18">
    <mergeCell ref="AM12:AN12"/>
    <mergeCell ref="N12:O12"/>
    <mergeCell ref="S12:T12"/>
    <mergeCell ref="U12:V12"/>
    <mergeCell ref="W12:X12"/>
    <mergeCell ref="Y12:Z12"/>
    <mergeCell ref="AA12:AB12"/>
    <mergeCell ref="AC12:AD12"/>
    <mergeCell ref="AE12:AF12"/>
    <mergeCell ref="AG12:AH12"/>
    <mergeCell ref="AI12:AJ12"/>
    <mergeCell ref="AK12:AL12"/>
    <mergeCell ref="L12:M12"/>
    <mergeCell ref="B12:C12"/>
    <mergeCell ref="D12:E12"/>
    <mergeCell ref="F12:G12"/>
    <mergeCell ref="H12:I12"/>
    <mergeCell ref="J12:K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zoomScaleNormal="100" workbookViewId="0">
      <selection activeCell="H28" sqref="H28"/>
    </sheetView>
  </sheetViews>
  <sheetFormatPr baseColWidth="10" defaultRowHeight="14.4" x14ac:dyDescent="0.3"/>
  <cols>
    <col min="3" max="3" width="11.5546875" style="76"/>
    <col min="7" max="7" width="11.5546875" style="76"/>
  </cols>
  <sheetData>
    <row r="1" spans="1:24" x14ac:dyDescent="0.3">
      <c r="A1" t="s">
        <v>409</v>
      </c>
      <c r="E1" t="s">
        <v>416</v>
      </c>
      <c r="M1" t="s">
        <v>418</v>
      </c>
    </row>
    <row r="2" spans="1:24" x14ac:dyDescent="0.3">
      <c r="B2" t="s">
        <v>410</v>
      </c>
      <c r="C2" s="76" t="s">
        <v>433</v>
      </c>
      <c r="E2" t="s">
        <v>411</v>
      </c>
      <c r="F2" t="s">
        <v>412</v>
      </c>
      <c r="G2" s="76" t="s">
        <v>433</v>
      </c>
      <c r="M2" t="s">
        <v>435</v>
      </c>
      <c r="N2" s="24">
        <f>W7/SUM(T7:W7)</f>
        <v>0.11423346910130343</v>
      </c>
    </row>
    <row r="3" spans="1:24" x14ac:dyDescent="0.3">
      <c r="A3" t="s">
        <v>17</v>
      </c>
      <c r="B3">
        <v>12.52</v>
      </c>
      <c r="C3" s="74">
        <f>B3*$N$2</f>
        <v>1.4302030331483189</v>
      </c>
      <c r="E3">
        <v>75</v>
      </c>
      <c r="F3">
        <v>0</v>
      </c>
      <c r="G3" s="74">
        <f>F3*1000*$N$2</f>
        <v>0</v>
      </c>
      <c r="H3" t="str">
        <f>CONCATENATE(ROUND(I3,0),"_",K3)</f>
        <v>90_Oceania_Japan_Korea</v>
      </c>
      <c r="I3">
        <v>90</v>
      </c>
      <c r="J3">
        <v>3.6923005278538801</v>
      </c>
      <c r="K3" t="s">
        <v>413</v>
      </c>
      <c r="M3" s="173" t="s">
        <v>419</v>
      </c>
      <c r="N3" s="163" t="s">
        <v>420</v>
      </c>
      <c r="O3" s="163" t="s">
        <v>421</v>
      </c>
      <c r="P3" s="163" t="s">
        <v>422</v>
      </c>
      <c r="Q3" s="167" t="s">
        <v>423</v>
      </c>
      <c r="R3" s="166" t="s">
        <v>424</v>
      </c>
      <c r="S3" s="179"/>
      <c r="T3" s="167"/>
      <c r="U3" s="163" t="s">
        <v>425</v>
      </c>
      <c r="V3" s="163" t="s">
        <v>426</v>
      </c>
      <c r="W3" s="166" t="s">
        <v>427</v>
      </c>
      <c r="X3" s="167"/>
    </row>
    <row r="4" spans="1:24" x14ac:dyDescent="0.3">
      <c r="A4" t="s">
        <v>26</v>
      </c>
      <c r="B4">
        <v>5.29</v>
      </c>
      <c r="C4" s="74">
        <f t="shared" ref="C4:C32" si="0">B4*$N$2</f>
        <v>0.60429505154589513</v>
      </c>
      <c r="H4" s="76" t="str">
        <f t="shared" ref="H4:H67" si="1">CONCATENATE(ROUND(I4,0),"_",K4)</f>
        <v>90_Europe_sup</v>
      </c>
      <c r="I4">
        <v>90</v>
      </c>
      <c r="J4">
        <v>3.5400878087816698</v>
      </c>
      <c r="K4" t="s">
        <v>414</v>
      </c>
      <c r="M4" s="174"/>
      <c r="N4" s="164"/>
      <c r="O4" s="164"/>
      <c r="P4" s="164"/>
      <c r="Q4" s="177"/>
      <c r="R4" s="168"/>
      <c r="S4" s="180"/>
      <c r="T4" s="169"/>
      <c r="U4" s="164"/>
      <c r="V4" s="164"/>
      <c r="W4" s="168"/>
      <c r="X4" s="169"/>
    </row>
    <row r="5" spans="1:24" x14ac:dyDescent="0.3">
      <c r="A5" t="s">
        <v>64</v>
      </c>
      <c r="B5">
        <v>26.38</v>
      </c>
      <c r="C5" s="74">
        <f t="shared" si="0"/>
        <v>3.0134789148923842</v>
      </c>
      <c r="H5" s="76" t="str">
        <f t="shared" si="1"/>
        <v>90_Europe_inf</v>
      </c>
      <c r="I5">
        <v>90</v>
      </c>
      <c r="J5">
        <v>3.3878750897094601</v>
      </c>
      <c r="K5" t="s">
        <v>415</v>
      </c>
      <c r="M5" s="174"/>
      <c r="N5" s="164"/>
      <c r="O5" s="164"/>
      <c r="P5" s="164"/>
      <c r="Q5" s="177"/>
      <c r="R5" s="121" t="s">
        <v>428</v>
      </c>
      <c r="S5" s="121" t="s">
        <v>429</v>
      </c>
      <c r="T5" s="121" t="s">
        <v>430</v>
      </c>
      <c r="U5" s="165"/>
      <c r="V5" s="165"/>
      <c r="W5" s="122" t="s">
        <v>431</v>
      </c>
      <c r="X5" s="123" t="s">
        <v>400</v>
      </c>
    </row>
    <row r="6" spans="1:24" ht="15" thickBot="1" x14ac:dyDescent="0.35">
      <c r="A6" t="s">
        <v>29</v>
      </c>
      <c r="B6">
        <v>10.34</v>
      </c>
      <c r="C6" s="74">
        <f t="shared" si="0"/>
        <v>1.1811740705074774</v>
      </c>
      <c r="H6" s="76" t="str">
        <f t="shared" si="1"/>
        <v>100_Oceania_Japan_Korea</v>
      </c>
      <c r="I6">
        <v>100</v>
      </c>
      <c r="J6">
        <v>3.9440369478579198</v>
      </c>
      <c r="K6" s="76" t="s">
        <v>413</v>
      </c>
      <c r="M6" s="175"/>
      <c r="N6" s="176"/>
      <c r="O6" s="176"/>
      <c r="P6" s="176"/>
      <c r="Q6" s="178"/>
      <c r="R6" s="170" t="s">
        <v>432</v>
      </c>
      <c r="S6" s="171"/>
      <c r="T6" s="171"/>
      <c r="U6" s="171"/>
      <c r="V6" s="171"/>
      <c r="W6" s="171"/>
      <c r="X6" s="172"/>
    </row>
    <row r="7" spans="1:24" ht="15" thickTop="1" x14ac:dyDescent="0.3">
      <c r="A7" t="s">
        <v>60</v>
      </c>
      <c r="B7">
        <v>0.78</v>
      </c>
      <c r="C7" s="74">
        <f t="shared" si="0"/>
        <v>8.9102105899016681E-2</v>
      </c>
      <c r="H7" s="76" t="str">
        <f t="shared" si="1"/>
        <v>100_Europe_sup</v>
      </c>
      <c r="I7">
        <v>100</v>
      </c>
      <c r="J7">
        <v>3.78011555808785</v>
      </c>
      <c r="K7" s="76" t="s">
        <v>414</v>
      </c>
      <c r="M7" s="118" t="s">
        <v>417</v>
      </c>
      <c r="N7" s="119" t="s">
        <v>167</v>
      </c>
      <c r="O7" s="120">
        <v>6963.9875105877763</v>
      </c>
      <c r="P7" s="120">
        <v>6532.615531348195</v>
      </c>
      <c r="Q7" s="120">
        <v>431.37197923958138</v>
      </c>
      <c r="R7" s="120">
        <v>1.8885058289366701</v>
      </c>
      <c r="S7" s="120">
        <v>-0.70718699936860996</v>
      </c>
      <c r="T7" s="120">
        <v>1.1813188295680701</v>
      </c>
      <c r="U7" s="120">
        <v>2.6736113186150001E-2</v>
      </c>
      <c r="V7" s="120">
        <v>0.22291843971485001</v>
      </c>
      <c r="W7" s="120">
        <v>0.18454643291299</v>
      </c>
      <c r="X7" s="120">
        <v>-1.03079121761812</v>
      </c>
    </row>
    <row r="8" spans="1:24" x14ac:dyDescent="0.3">
      <c r="A8" t="s">
        <v>62</v>
      </c>
      <c r="B8">
        <v>21.25</v>
      </c>
      <c r="C8" s="74">
        <f t="shared" si="0"/>
        <v>2.4274612184026978</v>
      </c>
      <c r="H8" s="76" t="str">
        <f t="shared" si="1"/>
        <v>100_Europe_inf</v>
      </c>
      <c r="I8">
        <v>100</v>
      </c>
      <c r="J8">
        <v>3.5986311622709799</v>
      </c>
      <c r="K8" s="76" t="s">
        <v>415</v>
      </c>
    </row>
    <row r="9" spans="1:24" x14ac:dyDescent="0.3">
      <c r="A9" t="s">
        <v>61</v>
      </c>
      <c r="B9">
        <v>4.26</v>
      </c>
      <c r="C9" s="74">
        <f t="shared" si="0"/>
        <v>0.48663457837155261</v>
      </c>
      <c r="E9">
        <v>90</v>
      </c>
      <c r="F9">
        <f t="shared" ref="F9:F39" si="2">VLOOKUP(CONCATENATE(E9,"_Europe_sup"),$H$3:$K$86,3,FALSE)-VLOOKUP(CONCATENATE(E9,"_Europe_inf"),$H$3:$K$86,3,FALSE)</f>
        <v>0.15221271907220979</v>
      </c>
      <c r="G9" s="74">
        <f>F9*1000*$N$2</f>
        <v>17.387786940960655</v>
      </c>
      <c r="H9" s="76" t="str">
        <f t="shared" si="1"/>
        <v>110_Oceania_Japan_Korea</v>
      </c>
      <c r="I9">
        <v>110</v>
      </c>
      <c r="J9">
        <v>4.1372300143726504</v>
      </c>
      <c r="K9" s="76" t="s">
        <v>413</v>
      </c>
    </row>
    <row r="10" spans="1:24" x14ac:dyDescent="0.3">
      <c r="A10" t="s">
        <v>63</v>
      </c>
      <c r="B10">
        <v>6.83</v>
      </c>
      <c r="C10" s="74">
        <f t="shared" si="0"/>
        <v>0.7802145939619024</v>
      </c>
      <c r="E10">
        <v>100</v>
      </c>
      <c r="F10" s="76">
        <f t="shared" si="2"/>
        <v>0.18148439581687015</v>
      </c>
      <c r="G10" s="74">
        <f t="shared" ref="G10:G39" si="3">F10*1000*$N$2</f>
        <v>20.731592121915156</v>
      </c>
      <c r="H10" s="76" t="str">
        <f t="shared" si="1"/>
        <v>110_Europe_sup</v>
      </c>
      <c r="I10">
        <v>110</v>
      </c>
      <c r="J10">
        <v>3.94989128320685</v>
      </c>
      <c r="K10" s="76" t="s">
        <v>414</v>
      </c>
    </row>
    <row r="11" spans="1:24" x14ac:dyDescent="0.3">
      <c r="A11" t="s">
        <v>31</v>
      </c>
      <c r="B11">
        <v>1.69</v>
      </c>
      <c r="C11" s="74">
        <f t="shared" si="0"/>
        <v>0.19305456278120278</v>
      </c>
      <c r="E11" s="76">
        <v>110</v>
      </c>
      <c r="F11" s="76">
        <f t="shared" si="2"/>
        <v>0.1931930665147199</v>
      </c>
      <c r="G11" s="74">
        <f t="shared" si="3"/>
        <v>22.069114194295313</v>
      </c>
      <c r="H11" s="76" t="str">
        <f t="shared" si="1"/>
        <v>110_Europe_inf</v>
      </c>
      <c r="I11">
        <v>110</v>
      </c>
      <c r="J11">
        <v>3.7566982166921301</v>
      </c>
      <c r="K11" s="76" t="s">
        <v>415</v>
      </c>
    </row>
    <row r="12" spans="1:24" x14ac:dyDescent="0.3">
      <c r="A12" t="s">
        <v>34</v>
      </c>
      <c r="B12">
        <v>111.5</v>
      </c>
      <c r="C12" s="74">
        <f t="shared" si="0"/>
        <v>12.737031804795333</v>
      </c>
      <c r="E12" s="76">
        <v>120</v>
      </c>
      <c r="F12" s="76">
        <f t="shared" si="2"/>
        <v>0.21075607256151985</v>
      </c>
      <c r="G12" s="74">
        <f t="shared" si="3"/>
        <v>24.075397302868442</v>
      </c>
      <c r="H12" s="76" t="str">
        <f t="shared" si="1"/>
        <v>120_Oceania_Japan_Korea</v>
      </c>
      <c r="I12">
        <v>120</v>
      </c>
      <c r="J12">
        <v>4.3362774162363102</v>
      </c>
      <c r="K12" s="76" t="s">
        <v>413</v>
      </c>
    </row>
    <row r="13" spans="1:24" x14ac:dyDescent="0.3">
      <c r="A13" t="s">
        <v>188</v>
      </c>
      <c r="B13">
        <v>42</v>
      </c>
      <c r="C13" s="74">
        <f t="shared" si="0"/>
        <v>4.7978057022547436</v>
      </c>
      <c r="E13" s="76">
        <v>130</v>
      </c>
      <c r="F13" s="76">
        <f t="shared" si="2"/>
        <v>0.22831907860831979</v>
      </c>
      <c r="G13" s="74">
        <f t="shared" si="3"/>
        <v>26.081680411441567</v>
      </c>
      <c r="H13" s="76" t="str">
        <f t="shared" si="1"/>
        <v>120_Europe_sup</v>
      </c>
      <c r="I13">
        <v>120</v>
      </c>
      <c r="J13">
        <v>4.12552134367479</v>
      </c>
      <c r="K13" s="76" t="s">
        <v>414</v>
      </c>
    </row>
    <row r="14" spans="1:24" x14ac:dyDescent="0.3">
      <c r="A14" t="s">
        <v>36</v>
      </c>
      <c r="B14">
        <v>92.43</v>
      </c>
      <c r="C14" s="74">
        <f t="shared" si="0"/>
        <v>10.558599549033477</v>
      </c>
      <c r="E14" s="76">
        <v>140</v>
      </c>
      <c r="F14" s="76">
        <f t="shared" si="2"/>
        <v>0.23417341395725</v>
      </c>
      <c r="G14" s="74">
        <f t="shared" si="3"/>
        <v>26.750441447632255</v>
      </c>
      <c r="H14" s="76" t="str">
        <f t="shared" si="1"/>
        <v>120_Europe_inf</v>
      </c>
      <c r="I14">
        <v>120</v>
      </c>
      <c r="J14">
        <v>3.9147652711132701</v>
      </c>
      <c r="K14" s="76" t="s">
        <v>415</v>
      </c>
    </row>
    <row r="15" spans="1:24" x14ac:dyDescent="0.3">
      <c r="A15" t="s">
        <v>38</v>
      </c>
      <c r="B15">
        <v>21.92</v>
      </c>
      <c r="C15" s="74">
        <f t="shared" si="0"/>
        <v>2.5039976427005715</v>
      </c>
      <c r="E15" s="76">
        <v>150</v>
      </c>
      <c r="F15" s="76">
        <f t="shared" si="2"/>
        <v>0.24002774930617932</v>
      </c>
      <c r="G15" s="74">
        <f t="shared" si="3"/>
        <v>27.41920248382284</v>
      </c>
      <c r="H15" s="76" t="str">
        <f t="shared" si="1"/>
        <v>130_Oceania_Japan_Korea</v>
      </c>
      <c r="I15">
        <v>130</v>
      </c>
      <c r="J15">
        <v>4.5119074767042502</v>
      </c>
      <c r="K15" s="76" t="s">
        <v>413</v>
      </c>
    </row>
    <row r="16" spans="1:24" x14ac:dyDescent="0.3">
      <c r="A16" t="s">
        <v>39</v>
      </c>
      <c r="B16">
        <v>87.65</v>
      </c>
      <c r="C16" s="74">
        <f t="shared" si="0"/>
        <v>10.012563566729247</v>
      </c>
      <c r="E16" s="76">
        <v>160</v>
      </c>
      <c r="F16" s="76">
        <f t="shared" si="2"/>
        <v>0.2400277493061802</v>
      </c>
      <c r="G16" s="74">
        <f t="shared" si="3"/>
        <v>27.419202483822939</v>
      </c>
      <c r="H16" s="76" t="str">
        <f t="shared" si="1"/>
        <v>130_Europe_sup</v>
      </c>
      <c r="I16">
        <v>130</v>
      </c>
      <c r="J16">
        <v>4.27187972739807</v>
      </c>
      <c r="K16" s="76" t="s">
        <v>414</v>
      </c>
    </row>
    <row r="17" spans="1:11" x14ac:dyDescent="0.3">
      <c r="A17" t="s">
        <v>40</v>
      </c>
      <c r="B17">
        <v>111.47</v>
      </c>
      <c r="C17" s="74">
        <f t="shared" si="0"/>
        <v>12.733604800722294</v>
      </c>
      <c r="E17" s="76">
        <v>170</v>
      </c>
      <c r="F17" s="76">
        <f t="shared" si="2"/>
        <v>0.2400277493061802</v>
      </c>
      <c r="G17" s="74">
        <f t="shared" si="3"/>
        <v>27.419202483822939</v>
      </c>
      <c r="H17" s="76" t="str">
        <f t="shared" si="1"/>
        <v>130_Europe_inf</v>
      </c>
      <c r="I17">
        <v>130</v>
      </c>
      <c r="J17">
        <v>4.0435606487897502</v>
      </c>
      <c r="K17" s="76" t="s">
        <v>415</v>
      </c>
    </row>
    <row r="18" spans="1:11" x14ac:dyDescent="0.3">
      <c r="A18" t="s">
        <v>41</v>
      </c>
      <c r="B18">
        <v>11.68</v>
      </c>
      <c r="C18" s="74">
        <f t="shared" si="0"/>
        <v>1.334246919103224</v>
      </c>
      <c r="E18" s="76">
        <v>180</v>
      </c>
      <c r="F18" s="76">
        <f t="shared" si="2"/>
        <v>0.24588208465510952</v>
      </c>
      <c r="G18" s="74">
        <f t="shared" si="3"/>
        <v>28.087963520013528</v>
      </c>
      <c r="H18" s="76" t="str">
        <f t="shared" si="1"/>
        <v>140_Oceania_Japan_Korea</v>
      </c>
      <c r="I18">
        <v>140</v>
      </c>
      <c r="J18">
        <v>4.6348485190317996</v>
      </c>
      <c r="K18" s="76" t="s">
        <v>413</v>
      </c>
    </row>
    <row r="19" spans="1:11" x14ac:dyDescent="0.3">
      <c r="A19" t="s">
        <v>42</v>
      </c>
      <c r="B19">
        <v>11.95</v>
      </c>
      <c r="C19" s="74">
        <f t="shared" si="0"/>
        <v>1.3650899557605758</v>
      </c>
      <c r="E19" s="76">
        <v>190</v>
      </c>
      <c r="F19" s="76">
        <f t="shared" si="2"/>
        <v>0.25173642000404062</v>
      </c>
      <c r="G19" s="74">
        <f t="shared" si="3"/>
        <v>28.756724556204315</v>
      </c>
      <c r="H19" s="76" t="str">
        <f t="shared" si="1"/>
        <v>140_Europe_sup</v>
      </c>
      <c r="I19">
        <v>140</v>
      </c>
      <c r="J19">
        <v>4.3772577636788297</v>
      </c>
      <c r="K19" s="76" t="s">
        <v>414</v>
      </c>
    </row>
    <row r="20" spans="1:11" x14ac:dyDescent="0.3">
      <c r="A20" t="s">
        <v>43</v>
      </c>
      <c r="B20">
        <v>0.23</v>
      </c>
      <c r="C20" s="74">
        <f t="shared" si="0"/>
        <v>2.627369789329979E-2</v>
      </c>
      <c r="E20" s="76">
        <v>200</v>
      </c>
      <c r="F20" s="76">
        <f t="shared" si="2"/>
        <v>0.25759075535296994</v>
      </c>
      <c r="G20" s="74">
        <f t="shared" si="3"/>
        <v>29.425485592394903</v>
      </c>
      <c r="H20" s="76" t="str">
        <f t="shared" si="1"/>
        <v>140_Europe_inf</v>
      </c>
      <c r="I20">
        <v>140</v>
      </c>
      <c r="J20">
        <v>4.1430843497215797</v>
      </c>
      <c r="K20" s="76" t="s">
        <v>415</v>
      </c>
    </row>
    <row r="21" spans="1:11" x14ac:dyDescent="0.3">
      <c r="A21" t="s">
        <v>44</v>
      </c>
      <c r="B21">
        <v>0.01</v>
      </c>
      <c r="C21" s="74">
        <f t="shared" si="0"/>
        <v>1.1423346910130344E-3</v>
      </c>
      <c r="E21" s="76">
        <v>210</v>
      </c>
      <c r="F21" s="76">
        <f t="shared" si="2"/>
        <v>0.24588208465510952</v>
      </c>
      <c r="G21" s="74">
        <f t="shared" si="3"/>
        <v>28.087963520013528</v>
      </c>
      <c r="H21" s="76" t="str">
        <f t="shared" si="1"/>
        <v>150_Oceania_Japan_Korea</v>
      </c>
      <c r="I21">
        <v>150</v>
      </c>
      <c r="J21">
        <v>4.6992462078700399</v>
      </c>
      <c r="K21" s="76" t="s">
        <v>413</v>
      </c>
    </row>
    <row r="22" spans="1:11" x14ac:dyDescent="0.3">
      <c r="A22" t="s">
        <v>45</v>
      </c>
      <c r="B22">
        <v>12.21</v>
      </c>
      <c r="C22" s="74">
        <f t="shared" si="0"/>
        <v>1.3947906577269149</v>
      </c>
      <c r="E22" s="76">
        <v>220</v>
      </c>
      <c r="F22" s="76">
        <f t="shared" si="2"/>
        <v>0.25173642000403973</v>
      </c>
      <c r="G22" s="74">
        <f t="shared" si="3"/>
        <v>28.756724556204215</v>
      </c>
      <c r="H22" s="76" t="str">
        <f t="shared" si="1"/>
        <v>150_Europe_sup</v>
      </c>
      <c r="I22">
        <v>150</v>
      </c>
      <c r="J22">
        <v>4.4358011171681397</v>
      </c>
      <c r="K22" s="76" t="s">
        <v>414</v>
      </c>
    </row>
    <row r="23" spans="1:11" x14ac:dyDescent="0.3">
      <c r="A23" t="s">
        <v>46</v>
      </c>
      <c r="B23">
        <v>75.22</v>
      </c>
      <c r="C23" s="74">
        <f t="shared" si="0"/>
        <v>8.5926415458000438</v>
      </c>
      <c r="E23" s="76">
        <v>230</v>
      </c>
      <c r="F23" s="76">
        <f t="shared" si="2"/>
        <v>0.25759075535298059</v>
      </c>
      <c r="G23" s="74">
        <f t="shared" si="3"/>
        <v>29.425485592396118</v>
      </c>
      <c r="H23" s="76" t="str">
        <f t="shared" si="1"/>
        <v>150_Europe_inf</v>
      </c>
      <c r="I23">
        <v>150</v>
      </c>
      <c r="J23">
        <v>4.1957733678619604</v>
      </c>
      <c r="K23" s="76" t="s">
        <v>415</v>
      </c>
    </row>
    <row r="24" spans="1:11" x14ac:dyDescent="0.3">
      <c r="A24" t="s">
        <v>48</v>
      </c>
      <c r="B24">
        <v>64.95</v>
      </c>
      <c r="C24" s="74">
        <f t="shared" si="0"/>
        <v>7.4194638181296577</v>
      </c>
      <c r="E24" s="76">
        <v>240</v>
      </c>
      <c r="F24" s="76">
        <f t="shared" si="2"/>
        <v>0.25759075535296994</v>
      </c>
      <c r="G24" s="74">
        <f t="shared" si="3"/>
        <v>29.425485592394903</v>
      </c>
      <c r="H24" s="76" t="str">
        <f t="shared" si="1"/>
        <v>160_Oceania_Japan_Korea</v>
      </c>
      <c r="I24">
        <v>160</v>
      </c>
      <c r="J24">
        <v>4.7460808906614904</v>
      </c>
      <c r="K24" s="76" t="s">
        <v>413</v>
      </c>
    </row>
    <row r="25" spans="1:11" x14ac:dyDescent="0.3">
      <c r="A25" t="s">
        <v>49</v>
      </c>
      <c r="B25">
        <v>30</v>
      </c>
      <c r="C25" s="74">
        <f t="shared" si="0"/>
        <v>3.4270040730391029</v>
      </c>
      <c r="E25" s="76">
        <v>250</v>
      </c>
      <c r="F25" s="76">
        <f t="shared" si="2"/>
        <v>0.25759075535296994</v>
      </c>
      <c r="G25" s="74">
        <f t="shared" si="3"/>
        <v>29.425485592394903</v>
      </c>
      <c r="H25" s="76" t="str">
        <f t="shared" si="1"/>
        <v>160_Europe_sup</v>
      </c>
      <c r="I25">
        <v>160</v>
      </c>
      <c r="J25">
        <v>4.4826357999595903</v>
      </c>
      <c r="K25" s="76" t="s">
        <v>414</v>
      </c>
    </row>
    <row r="26" spans="1:11" x14ac:dyDescent="0.3">
      <c r="A26" t="s">
        <v>51</v>
      </c>
      <c r="B26">
        <v>8.34</v>
      </c>
      <c r="C26" s="74">
        <f t="shared" si="0"/>
        <v>0.95270713230487059</v>
      </c>
      <c r="E26" s="76">
        <v>260</v>
      </c>
      <c r="F26" s="76">
        <f t="shared" si="2"/>
        <v>0.26344509070190014</v>
      </c>
      <c r="G26" s="74">
        <f t="shared" si="3"/>
        <v>30.094246628585587</v>
      </c>
      <c r="H26" s="76" t="str">
        <f t="shared" si="1"/>
        <v>160_Europe_inf</v>
      </c>
      <c r="I26">
        <v>160</v>
      </c>
      <c r="J26">
        <v>4.2426080506534101</v>
      </c>
      <c r="K26" s="76" t="s">
        <v>415</v>
      </c>
    </row>
    <row r="27" spans="1:11" x14ac:dyDescent="0.3">
      <c r="A27" t="s">
        <v>53</v>
      </c>
      <c r="B27">
        <v>2.31</v>
      </c>
      <c r="C27" s="74">
        <f t="shared" si="0"/>
        <v>0.2638793136240109</v>
      </c>
      <c r="E27" s="76">
        <v>270</v>
      </c>
      <c r="F27" s="76">
        <f t="shared" si="2"/>
        <v>0.25759075535296994</v>
      </c>
      <c r="G27" s="74">
        <f t="shared" si="3"/>
        <v>29.425485592394903</v>
      </c>
      <c r="H27" s="76" t="str">
        <f t="shared" si="1"/>
        <v>170_Oceania_Japan_Korea</v>
      </c>
      <c r="I27">
        <v>170</v>
      </c>
      <c r="J27">
        <v>4.7929155734529401</v>
      </c>
      <c r="K27" s="76" t="s">
        <v>413</v>
      </c>
    </row>
    <row r="28" spans="1:11" x14ac:dyDescent="0.3">
      <c r="A28" t="s">
        <v>55</v>
      </c>
      <c r="B28">
        <v>188.73</v>
      </c>
      <c r="C28" s="74">
        <f t="shared" si="0"/>
        <v>21.559282623488993</v>
      </c>
      <c r="E28" s="76">
        <v>280</v>
      </c>
      <c r="F28" s="76">
        <f t="shared" si="2"/>
        <v>0.26344509070190014</v>
      </c>
      <c r="G28" s="74">
        <f t="shared" si="3"/>
        <v>30.094246628585587</v>
      </c>
      <c r="H28" s="76" t="str">
        <f t="shared" si="1"/>
        <v>170_Europe_sup</v>
      </c>
      <c r="I28">
        <v>170</v>
      </c>
      <c r="J28">
        <v>4.5294704827510399</v>
      </c>
      <c r="K28" s="76" t="s">
        <v>414</v>
      </c>
    </row>
    <row r="29" spans="1:11" x14ac:dyDescent="0.3">
      <c r="A29" t="s">
        <v>56</v>
      </c>
      <c r="B29">
        <v>6.84</v>
      </c>
      <c r="C29" s="74">
        <f t="shared" si="0"/>
        <v>0.78135692865291539</v>
      </c>
      <c r="E29" s="76">
        <v>290</v>
      </c>
      <c r="F29" s="76">
        <f t="shared" si="2"/>
        <v>0.26344509070190014</v>
      </c>
      <c r="G29" s="74">
        <f t="shared" si="3"/>
        <v>30.094246628585587</v>
      </c>
      <c r="H29" s="76" t="str">
        <f t="shared" si="1"/>
        <v>170_Europe_inf</v>
      </c>
      <c r="I29">
        <v>170</v>
      </c>
      <c r="J29">
        <v>4.2894427334448597</v>
      </c>
      <c r="K29" s="76" t="s">
        <v>415</v>
      </c>
    </row>
    <row r="30" spans="1:11" x14ac:dyDescent="0.3">
      <c r="A30" t="s">
        <v>192</v>
      </c>
      <c r="B30">
        <v>153.05000000000001</v>
      </c>
      <c r="C30" s="74">
        <f t="shared" si="0"/>
        <v>17.483432445954492</v>
      </c>
      <c r="E30" s="76">
        <v>300</v>
      </c>
      <c r="F30" s="76">
        <f t="shared" si="2"/>
        <v>0.26344509070190014</v>
      </c>
      <c r="G30" s="74">
        <f t="shared" si="3"/>
        <v>30.094246628585587</v>
      </c>
      <c r="H30" s="76" t="str">
        <f t="shared" si="1"/>
        <v>180_Oceania_Japan_Korea</v>
      </c>
      <c r="I30">
        <v>180</v>
      </c>
      <c r="J30">
        <v>4.8456045915933199</v>
      </c>
      <c r="K30" s="76" t="s">
        <v>413</v>
      </c>
    </row>
    <row r="31" spans="1:11" x14ac:dyDescent="0.3">
      <c r="E31" s="76">
        <v>310</v>
      </c>
      <c r="F31" s="76" t="e">
        <f t="shared" si="2"/>
        <v>#N/A</v>
      </c>
      <c r="G31" s="74" t="e">
        <f t="shared" si="3"/>
        <v>#N/A</v>
      </c>
      <c r="H31" s="76" t="str">
        <f t="shared" si="1"/>
        <v>180_Europe_sup</v>
      </c>
      <c r="I31">
        <v>180</v>
      </c>
      <c r="J31">
        <v>4.5763051655424896</v>
      </c>
      <c r="K31" s="76" t="s">
        <v>414</v>
      </c>
    </row>
    <row r="32" spans="1:11" x14ac:dyDescent="0.3">
      <c r="A32" t="s">
        <v>434</v>
      </c>
      <c r="B32">
        <f>SUM(B3:B29)</f>
        <v>968.7800000000002</v>
      </c>
      <c r="C32" s="74">
        <f t="shared" si="0"/>
        <v>110.66710019596076</v>
      </c>
      <c r="E32" s="76">
        <v>320</v>
      </c>
      <c r="F32" s="76" t="e">
        <f t="shared" si="2"/>
        <v>#N/A</v>
      </c>
      <c r="G32" s="74" t="e">
        <f t="shared" si="3"/>
        <v>#N/A</v>
      </c>
      <c r="H32" s="76" t="str">
        <f t="shared" si="1"/>
        <v>180_Europe_inf</v>
      </c>
      <c r="I32">
        <v>180</v>
      </c>
      <c r="J32">
        <v>4.33042308088738</v>
      </c>
      <c r="K32" s="76" t="s">
        <v>415</v>
      </c>
    </row>
    <row r="33" spans="5:11" x14ac:dyDescent="0.3">
      <c r="E33" s="76">
        <v>330</v>
      </c>
      <c r="F33" s="76">
        <f t="shared" si="2"/>
        <v>0.26344509070189925</v>
      </c>
      <c r="G33" s="74">
        <f t="shared" si="3"/>
        <v>30.094246628585484</v>
      </c>
      <c r="H33" s="76" t="str">
        <f t="shared" si="1"/>
        <v>190_Oceania_Japan_Korea</v>
      </c>
      <c r="I33">
        <v>190</v>
      </c>
      <c r="J33">
        <v>4.8924392743847704</v>
      </c>
      <c r="K33" s="76" t="s">
        <v>413</v>
      </c>
    </row>
    <row r="34" spans="5:11" x14ac:dyDescent="0.3">
      <c r="E34" s="76">
        <v>340</v>
      </c>
      <c r="F34" s="76" t="e">
        <f t="shared" si="2"/>
        <v>#N/A</v>
      </c>
      <c r="G34" s="74" t="e">
        <f t="shared" si="3"/>
        <v>#N/A</v>
      </c>
      <c r="H34" s="76" t="str">
        <f t="shared" si="1"/>
        <v>190_Europe_sup</v>
      </c>
      <c r="I34">
        <v>189.99999999999901</v>
      </c>
      <c r="J34">
        <v>4.6289941836828703</v>
      </c>
      <c r="K34" s="76" t="s">
        <v>414</v>
      </c>
    </row>
    <row r="35" spans="5:11" x14ac:dyDescent="0.3">
      <c r="E35" s="76">
        <v>350</v>
      </c>
      <c r="F35" s="76" t="e">
        <f t="shared" si="2"/>
        <v>#N/A</v>
      </c>
      <c r="G35" s="74" t="e">
        <f t="shared" si="3"/>
        <v>#N/A</v>
      </c>
      <c r="H35" s="76" t="str">
        <f t="shared" si="1"/>
        <v>190_Europe_inf</v>
      </c>
      <c r="I35">
        <v>190</v>
      </c>
      <c r="J35">
        <v>4.3772577636788297</v>
      </c>
      <c r="K35" s="76" t="s">
        <v>415</v>
      </c>
    </row>
    <row r="36" spans="5:11" x14ac:dyDescent="0.3">
      <c r="E36" s="76">
        <v>360</v>
      </c>
      <c r="F36" s="76">
        <f t="shared" si="2"/>
        <v>0.27515376139977032</v>
      </c>
      <c r="G36" s="74">
        <f t="shared" si="3"/>
        <v>31.431768700968078</v>
      </c>
      <c r="H36" s="76" t="str">
        <f t="shared" si="1"/>
        <v>200_Oceania_Japan_Korea</v>
      </c>
      <c r="I36">
        <v>200</v>
      </c>
      <c r="J36">
        <v>4.9275652864783597</v>
      </c>
      <c r="K36" s="76" t="s">
        <v>413</v>
      </c>
    </row>
    <row r="37" spans="5:11" x14ac:dyDescent="0.3">
      <c r="E37" s="76">
        <v>370</v>
      </c>
      <c r="F37" s="76" t="e">
        <f t="shared" si="2"/>
        <v>#N/A</v>
      </c>
      <c r="G37" s="74" t="e">
        <f t="shared" si="3"/>
        <v>#N/A</v>
      </c>
      <c r="H37" s="76" t="str">
        <f t="shared" si="1"/>
        <v>200_Europe_sup</v>
      </c>
      <c r="I37">
        <v>199.99999999999901</v>
      </c>
      <c r="J37">
        <v>4.6699745311253897</v>
      </c>
      <c r="K37" s="76" t="s">
        <v>414</v>
      </c>
    </row>
    <row r="38" spans="5:11" x14ac:dyDescent="0.3">
      <c r="E38" s="76">
        <v>380</v>
      </c>
      <c r="F38" s="76" t="e">
        <f t="shared" si="2"/>
        <v>#N/A</v>
      </c>
      <c r="G38" s="74" t="e">
        <f t="shared" si="3"/>
        <v>#N/A</v>
      </c>
      <c r="H38" s="76" t="str">
        <f t="shared" si="1"/>
        <v>200_Europe_inf</v>
      </c>
      <c r="I38">
        <v>200</v>
      </c>
      <c r="J38">
        <v>4.4123837757724198</v>
      </c>
      <c r="K38" s="76" t="s">
        <v>415</v>
      </c>
    </row>
    <row r="39" spans="5:11" x14ac:dyDescent="0.3">
      <c r="E39" s="76">
        <v>390</v>
      </c>
      <c r="F39" s="76">
        <f t="shared" si="2"/>
        <v>0.26929942605083035</v>
      </c>
      <c r="G39" s="74">
        <f t="shared" si="3"/>
        <v>30.763007664776275</v>
      </c>
      <c r="H39" s="76" t="str">
        <f t="shared" si="1"/>
        <v>210_Oceania_Japan_Korea</v>
      </c>
      <c r="I39">
        <v>210</v>
      </c>
      <c r="J39">
        <v>4.9743999692698102</v>
      </c>
      <c r="K39" s="76" t="s">
        <v>413</v>
      </c>
    </row>
    <row r="40" spans="5:11" x14ac:dyDescent="0.3">
      <c r="F40" s="76"/>
      <c r="H40" s="76" t="str">
        <f t="shared" si="1"/>
        <v>210_Europe_sup</v>
      </c>
      <c r="I40">
        <v>210</v>
      </c>
      <c r="J40">
        <v>4.7051005432189799</v>
      </c>
      <c r="K40" s="76" t="s">
        <v>414</v>
      </c>
    </row>
    <row r="41" spans="5:11" x14ac:dyDescent="0.3">
      <c r="F41" s="76"/>
      <c r="H41" s="76" t="str">
        <f t="shared" si="1"/>
        <v>210_Europe_inf</v>
      </c>
      <c r="I41">
        <v>210</v>
      </c>
      <c r="J41">
        <v>4.4592184585638703</v>
      </c>
      <c r="K41" s="76" t="s">
        <v>415</v>
      </c>
    </row>
    <row r="42" spans="5:11" x14ac:dyDescent="0.3">
      <c r="F42" s="76"/>
      <c r="H42" s="76" t="str">
        <f t="shared" si="1"/>
        <v>220_Oceania_Japan_Korea</v>
      </c>
      <c r="I42">
        <v>219.99999999999901</v>
      </c>
      <c r="J42">
        <v>5.0270889874101901</v>
      </c>
      <c r="K42" s="76" t="s">
        <v>413</v>
      </c>
    </row>
    <row r="43" spans="5:11" x14ac:dyDescent="0.3">
      <c r="F43" s="76"/>
      <c r="H43" s="76" t="str">
        <f t="shared" si="1"/>
        <v>220_Europe_sup</v>
      </c>
      <c r="I43">
        <v>220</v>
      </c>
      <c r="J43">
        <v>4.7519352260104197</v>
      </c>
      <c r="K43" s="76" t="s">
        <v>414</v>
      </c>
    </row>
    <row r="44" spans="5:11" x14ac:dyDescent="0.3">
      <c r="F44" s="76"/>
      <c r="H44" s="76" t="str">
        <f t="shared" si="1"/>
        <v>220_Europe_inf</v>
      </c>
      <c r="I44">
        <v>220</v>
      </c>
      <c r="J44">
        <v>4.50019880600638</v>
      </c>
      <c r="K44" s="76" t="s">
        <v>415</v>
      </c>
    </row>
    <row r="45" spans="5:11" x14ac:dyDescent="0.3">
      <c r="F45" s="76"/>
      <c r="H45" s="76" t="str">
        <f t="shared" si="1"/>
        <v>230_Oceania_Japan_Korea</v>
      </c>
      <c r="I45">
        <v>229.99999999999901</v>
      </c>
      <c r="J45">
        <v>5.1031953469462996</v>
      </c>
      <c r="K45" s="76" t="s">
        <v>413</v>
      </c>
    </row>
    <row r="46" spans="5:11" x14ac:dyDescent="0.3">
      <c r="F46" s="76"/>
      <c r="H46" s="76" t="str">
        <f t="shared" si="1"/>
        <v>230_Europe_sup</v>
      </c>
      <c r="I46">
        <v>230</v>
      </c>
      <c r="J46">
        <v>4.8046242441508102</v>
      </c>
      <c r="K46" s="76" t="s">
        <v>414</v>
      </c>
    </row>
    <row r="47" spans="5:11" x14ac:dyDescent="0.3">
      <c r="F47" s="76"/>
      <c r="H47" s="76" t="str">
        <f t="shared" si="1"/>
        <v>230_Europe_inf</v>
      </c>
      <c r="I47">
        <v>230</v>
      </c>
      <c r="J47">
        <v>4.5470334887978296</v>
      </c>
      <c r="K47" s="76" t="s">
        <v>415</v>
      </c>
    </row>
    <row r="48" spans="5:11" x14ac:dyDescent="0.3">
      <c r="F48" s="76"/>
      <c r="H48" s="76" t="str">
        <f t="shared" si="1"/>
        <v>240_Oceania_Japan_Korea</v>
      </c>
      <c r="I48">
        <v>240</v>
      </c>
      <c r="J48">
        <v>5.1675930357845399</v>
      </c>
      <c r="K48" s="76" t="s">
        <v>413</v>
      </c>
    </row>
    <row r="49" spans="6:11" x14ac:dyDescent="0.3">
      <c r="F49" s="76"/>
      <c r="H49" s="76" t="str">
        <f t="shared" si="1"/>
        <v>240_Europe_sup</v>
      </c>
      <c r="I49">
        <v>240</v>
      </c>
      <c r="J49">
        <v>4.8514589269422501</v>
      </c>
      <c r="K49" s="76" t="s">
        <v>414</v>
      </c>
    </row>
    <row r="50" spans="6:11" x14ac:dyDescent="0.3">
      <c r="F50" s="76"/>
      <c r="H50" s="76" t="str">
        <f t="shared" si="1"/>
        <v>240_Europe_inf</v>
      </c>
      <c r="I50">
        <v>240</v>
      </c>
      <c r="J50">
        <v>4.5938681715892802</v>
      </c>
      <c r="K50" s="76" t="s">
        <v>415</v>
      </c>
    </row>
    <row r="51" spans="6:11" x14ac:dyDescent="0.3">
      <c r="F51" s="76"/>
      <c r="H51" s="76" t="str">
        <f t="shared" si="1"/>
        <v>250_Oceania_Japan_Korea</v>
      </c>
      <c r="I51">
        <v>250</v>
      </c>
      <c r="J51">
        <v>5.2085733832270602</v>
      </c>
      <c r="K51" s="76" t="s">
        <v>413</v>
      </c>
    </row>
    <row r="52" spans="6:11" x14ac:dyDescent="0.3">
      <c r="F52" s="76"/>
      <c r="H52" s="76" t="str">
        <f t="shared" si="1"/>
        <v>250_Europe_sup</v>
      </c>
      <c r="I52">
        <v>250</v>
      </c>
      <c r="J52">
        <v>4.88073060368691</v>
      </c>
      <c r="K52" s="76" t="s">
        <v>414</v>
      </c>
    </row>
    <row r="53" spans="6:11" x14ac:dyDescent="0.3">
      <c r="F53" s="76"/>
      <c r="H53" s="76" t="str">
        <f t="shared" si="1"/>
        <v>250_Europe_inf</v>
      </c>
      <c r="I53">
        <v>250</v>
      </c>
      <c r="J53">
        <v>4.6231398483339401</v>
      </c>
      <c r="K53" s="76" t="s">
        <v>415</v>
      </c>
    </row>
    <row r="54" spans="6:11" x14ac:dyDescent="0.3">
      <c r="F54" s="76"/>
      <c r="H54" s="76" t="str">
        <f t="shared" si="1"/>
        <v>260_Oceania_Japan_Korea</v>
      </c>
      <c r="I54">
        <v>260</v>
      </c>
      <c r="J54">
        <v>5.2261363892738499</v>
      </c>
      <c r="K54" s="76" t="s">
        <v>413</v>
      </c>
    </row>
    <row r="55" spans="6:11" x14ac:dyDescent="0.3">
      <c r="F55" s="76"/>
      <c r="H55" s="76" t="str">
        <f t="shared" si="1"/>
        <v>260_Europe_sup</v>
      </c>
      <c r="I55">
        <v>260</v>
      </c>
      <c r="J55">
        <v>4.8982936097336998</v>
      </c>
      <c r="K55" s="76" t="s">
        <v>414</v>
      </c>
    </row>
    <row r="56" spans="6:11" x14ac:dyDescent="0.3">
      <c r="F56" s="76"/>
      <c r="H56" s="76" t="str">
        <f t="shared" si="1"/>
        <v>260_Europe_inf</v>
      </c>
      <c r="I56">
        <v>260</v>
      </c>
      <c r="J56">
        <v>4.6348485190317996</v>
      </c>
      <c r="K56" s="76" t="s">
        <v>415</v>
      </c>
    </row>
    <row r="57" spans="6:11" x14ac:dyDescent="0.3">
      <c r="F57" s="76"/>
      <c r="H57" s="76" t="str">
        <f t="shared" si="1"/>
        <v>270_Oceania_Japan_Korea</v>
      </c>
      <c r="I57">
        <v>270</v>
      </c>
      <c r="J57">
        <v>5.2495537306695796</v>
      </c>
      <c r="K57" s="76" t="s">
        <v>413</v>
      </c>
    </row>
    <row r="58" spans="6:11" x14ac:dyDescent="0.3">
      <c r="F58" s="76"/>
      <c r="H58" s="76" t="str">
        <f t="shared" si="1"/>
        <v>270_Europe_sup</v>
      </c>
      <c r="I58">
        <v>270</v>
      </c>
      <c r="J58">
        <v>4.9158566157805001</v>
      </c>
      <c r="K58" s="76" t="s">
        <v>414</v>
      </c>
    </row>
    <row r="59" spans="6:11" x14ac:dyDescent="0.3">
      <c r="F59" s="76"/>
      <c r="H59" s="76" t="str">
        <f t="shared" si="1"/>
        <v>270_Europe_inf</v>
      </c>
      <c r="I59">
        <v>270</v>
      </c>
      <c r="J59">
        <v>4.6582658604275302</v>
      </c>
      <c r="K59" s="76" t="s">
        <v>415</v>
      </c>
    </row>
    <row r="60" spans="6:11" x14ac:dyDescent="0.3">
      <c r="F60" s="76"/>
      <c r="H60" s="76" t="str">
        <f t="shared" si="1"/>
        <v>280_Oceania_Japan_Korea</v>
      </c>
      <c r="I60">
        <v>280</v>
      </c>
      <c r="J60">
        <v>5.2729710720652996</v>
      </c>
      <c r="K60" s="76" t="s">
        <v>413</v>
      </c>
    </row>
    <row r="61" spans="6:11" x14ac:dyDescent="0.3">
      <c r="F61" s="76"/>
      <c r="H61" s="76" t="str">
        <f t="shared" si="1"/>
        <v>280_Europe_sup</v>
      </c>
      <c r="I61">
        <v>280</v>
      </c>
      <c r="J61">
        <v>4.9451282925251503</v>
      </c>
      <c r="K61" s="76" t="s">
        <v>414</v>
      </c>
    </row>
    <row r="62" spans="6:11" x14ac:dyDescent="0.3">
      <c r="F62" s="76"/>
      <c r="H62" s="76" t="str">
        <f t="shared" si="1"/>
        <v>280_Europe_inf</v>
      </c>
      <c r="I62">
        <v>280</v>
      </c>
      <c r="J62">
        <v>4.6816832018232502</v>
      </c>
      <c r="K62" s="76" t="s">
        <v>415</v>
      </c>
    </row>
    <row r="63" spans="6:11" x14ac:dyDescent="0.3">
      <c r="F63" s="76"/>
      <c r="H63" s="76" t="str">
        <f t="shared" si="1"/>
        <v>290_Oceania_Japan_Korea</v>
      </c>
      <c r="I63">
        <v>290</v>
      </c>
      <c r="J63">
        <v>5.3080970841588897</v>
      </c>
      <c r="K63" s="76" t="s">
        <v>413</v>
      </c>
    </row>
    <row r="64" spans="6:11" x14ac:dyDescent="0.3">
      <c r="F64" s="76"/>
      <c r="H64" s="76" t="str">
        <f t="shared" si="1"/>
        <v>290_Europe_sup</v>
      </c>
      <c r="I64">
        <v>290</v>
      </c>
      <c r="J64">
        <v>4.9743999692698102</v>
      </c>
      <c r="K64" s="76" t="s">
        <v>414</v>
      </c>
    </row>
    <row r="65" spans="6:11" x14ac:dyDescent="0.3">
      <c r="F65" s="76"/>
      <c r="H65" s="76" t="str">
        <f t="shared" si="1"/>
        <v>290_Europe_inf</v>
      </c>
      <c r="I65">
        <v>289.99999999999898</v>
      </c>
      <c r="J65">
        <v>4.7109548785679101</v>
      </c>
      <c r="K65" s="76" t="s">
        <v>415</v>
      </c>
    </row>
    <row r="66" spans="6:11" x14ac:dyDescent="0.3">
      <c r="F66" s="76"/>
      <c r="H66" s="76" t="str">
        <f t="shared" si="1"/>
        <v>300_Oceania_Japan_Korea</v>
      </c>
      <c r="I66">
        <v>299.99999999999898</v>
      </c>
      <c r="J66">
        <v>5.3198057548567501</v>
      </c>
      <c r="K66" s="76" t="s">
        <v>413</v>
      </c>
    </row>
    <row r="67" spans="6:11" x14ac:dyDescent="0.3">
      <c r="F67" s="76"/>
      <c r="H67" s="76" t="str">
        <f t="shared" si="1"/>
        <v>300_Europe_sup</v>
      </c>
      <c r="I67">
        <v>299.99999999999898</v>
      </c>
      <c r="J67">
        <v>5.0036716460144604</v>
      </c>
      <c r="K67" s="76" t="s">
        <v>414</v>
      </c>
    </row>
    <row r="68" spans="6:11" x14ac:dyDescent="0.3">
      <c r="F68" s="76"/>
      <c r="H68" s="76" t="str">
        <f t="shared" ref="H68:H86" si="4">CONCATENATE(ROUND(I68,0),"_",K68)</f>
        <v>300_Europe_inf</v>
      </c>
      <c r="I68">
        <v>300</v>
      </c>
      <c r="J68">
        <v>4.7402265553125602</v>
      </c>
      <c r="K68" s="76" t="s">
        <v>415</v>
      </c>
    </row>
    <row r="69" spans="6:11" x14ac:dyDescent="0.3">
      <c r="F69" s="76"/>
      <c r="H69" s="76" t="str">
        <f t="shared" si="4"/>
        <v>310_Oceania_Japan_Korea</v>
      </c>
      <c r="I69">
        <v>310</v>
      </c>
      <c r="J69">
        <v>5.0270889874101901</v>
      </c>
      <c r="K69" s="76" t="s">
        <v>413</v>
      </c>
    </row>
    <row r="70" spans="6:11" x14ac:dyDescent="0.3">
      <c r="F70" s="76"/>
      <c r="H70" s="76" t="str">
        <f t="shared" si="4"/>
        <v>310_Europe_sup</v>
      </c>
      <c r="I70">
        <v>310</v>
      </c>
      <c r="J70">
        <v>4.7636438967082899</v>
      </c>
      <c r="K70" s="76" t="s">
        <v>414</v>
      </c>
    </row>
    <row r="71" spans="6:11" x14ac:dyDescent="0.3">
      <c r="F71" s="76"/>
      <c r="H71" s="76" t="str">
        <f t="shared" si="4"/>
        <v>320_Europe_inf</v>
      </c>
      <c r="I71">
        <v>320</v>
      </c>
      <c r="J71">
        <v>5.0622149995037802</v>
      </c>
      <c r="K71" s="76" t="s">
        <v>415</v>
      </c>
    </row>
    <row r="72" spans="6:11" x14ac:dyDescent="0.3">
      <c r="F72" s="76"/>
      <c r="H72" s="76" t="str">
        <f t="shared" si="4"/>
        <v>320_Oceania_Japan_Korea</v>
      </c>
      <c r="I72">
        <v>320</v>
      </c>
      <c r="J72">
        <v>4.79876990880188</v>
      </c>
      <c r="K72" s="76" t="s">
        <v>413</v>
      </c>
    </row>
    <row r="73" spans="6:11" x14ac:dyDescent="0.3">
      <c r="F73" s="76"/>
      <c r="H73" s="76" t="str">
        <f t="shared" si="4"/>
        <v>330_Europe_sup</v>
      </c>
      <c r="I73">
        <v>330</v>
      </c>
      <c r="J73">
        <v>5.0973410115973596</v>
      </c>
      <c r="K73" s="76" t="s">
        <v>414</v>
      </c>
    </row>
    <row r="74" spans="6:11" x14ac:dyDescent="0.3">
      <c r="F74" s="76"/>
      <c r="H74" s="76" t="str">
        <f t="shared" si="4"/>
        <v>330_Europe_inf</v>
      </c>
      <c r="I74">
        <v>330</v>
      </c>
      <c r="J74">
        <v>4.8338959208954604</v>
      </c>
      <c r="K74" s="76" t="s">
        <v>415</v>
      </c>
    </row>
    <row r="75" spans="6:11" x14ac:dyDescent="0.3">
      <c r="F75" s="76"/>
      <c r="H75" s="76" t="str">
        <f t="shared" si="4"/>
        <v>340_Oceania_Japan_Korea</v>
      </c>
      <c r="I75">
        <v>340</v>
      </c>
      <c r="J75">
        <v>5.1266126883420204</v>
      </c>
      <c r="K75" s="76" t="s">
        <v>413</v>
      </c>
    </row>
    <row r="76" spans="6:11" x14ac:dyDescent="0.3">
      <c r="F76" s="76"/>
      <c r="H76" s="76" t="str">
        <f t="shared" si="4"/>
        <v>340_Europe_sup</v>
      </c>
      <c r="I76">
        <v>340</v>
      </c>
      <c r="J76">
        <v>4.8573132622911901</v>
      </c>
      <c r="K76" s="76" t="s">
        <v>414</v>
      </c>
    </row>
    <row r="77" spans="6:11" x14ac:dyDescent="0.3">
      <c r="F77" s="76"/>
      <c r="H77" s="76" t="str">
        <f t="shared" si="4"/>
        <v>350_Europe_inf</v>
      </c>
      <c r="I77">
        <v>350</v>
      </c>
      <c r="J77">
        <v>5.1441756943888102</v>
      </c>
      <c r="K77" s="76" t="s">
        <v>415</v>
      </c>
    </row>
    <row r="78" spans="6:11" x14ac:dyDescent="0.3">
      <c r="F78" s="76"/>
      <c r="H78" s="76" t="str">
        <f t="shared" si="4"/>
        <v>350_Oceania_Japan_Korea</v>
      </c>
      <c r="I78">
        <v>350</v>
      </c>
      <c r="J78">
        <v>4.8690219329890496</v>
      </c>
      <c r="K78" s="76" t="s">
        <v>413</v>
      </c>
    </row>
    <row r="79" spans="6:11" x14ac:dyDescent="0.3">
      <c r="F79" s="76"/>
      <c r="H79" s="76" t="str">
        <f t="shared" si="4"/>
        <v>360_Europe_sup</v>
      </c>
      <c r="I79">
        <v>360</v>
      </c>
      <c r="J79">
        <v>5.1558843650866804</v>
      </c>
      <c r="K79" s="76" t="s">
        <v>414</v>
      </c>
    </row>
    <row r="80" spans="6:11" x14ac:dyDescent="0.3">
      <c r="F80" s="76"/>
      <c r="H80" s="76" t="str">
        <f t="shared" si="4"/>
        <v>360_Europe_inf</v>
      </c>
      <c r="I80">
        <v>359.99999999999898</v>
      </c>
      <c r="J80">
        <v>4.88073060368691</v>
      </c>
      <c r="K80" s="76" t="s">
        <v>415</v>
      </c>
    </row>
    <row r="81" spans="6:11" x14ac:dyDescent="0.3">
      <c r="F81" s="76"/>
      <c r="H81" s="76" t="str">
        <f t="shared" si="4"/>
        <v>370_Oceania_Japan_Korea</v>
      </c>
      <c r="I81">
        <v>370</v>
      </c>
      <c r="J81">
        <v>5.1617387004356097</v>
      </c>
      <c r="K81" s="76" t="s">
        <v>413</v>
      </c>
    </row>
    <row r="82" spans="6:11" x14ac:dyDescent="0.3">
      <c r="F82" s="76"/>
      <c r="H82" s="76" t="str">
        <f t="shared" si="4"/>
        <v>370_Europe_sup</v>
      </c>
      <c r="I82">
        <v>369.99999999999898</v>
      </c>
      <c r="J82">
        <v>4.88073060368691</v>
      </c>
      <c r="K82" s="76" t="s">
        <v>414</v>
      </c>
    </row>
    <row r="83" spans="6:11" x14ac:dyDescent="0.3">
      <c r="F83" s="76"/>
      <c r="H83" s="76" t="str">
        <f t="shared" si="4"/>
        <v>380_Europe_inf</v>
      </c>
      <c r="I83">
        <v>380</v>
      </c>
      <c r="J83">
        <v>5.1675930357845399</v>
      </c>
      <c r="K83" s="76" t="s">
        <v>415</v>
      </c>
    </row>
    <row r="84" spans="6:11" x14ac:dyDescent="0.3">
      <c r="F84" s="76"/>
      <c r="H84" s="76" t="str">
        <f t="shared" si="4"/>
        <v>380_Oceania_Japan_Korea</v>
      </c>
      <c r="I84">
        <v>380</v>
      </c>
      <c r="J84">
        <v>4.8924392743847704</v>
      </c>
      <c r="K84" s="76" t="s">
        <v>413</v>
      </c>
    </row>
    <row r="85" spans="6:11" x14ac:dyDescent="0.3">
      <c r="F85" s="76"/>
      <c r="H85" s="76" t="str">
        <f t="shared" si="4"/>
        <v>390_Europe_sup</v>
      </c>
      <c r="I85">
        <v>390</v>
      </c>
      <c r="J85">
        <v>5.1734473711334701</v>
      </c>
      <c r="K85" s="76" t="s">
        <v>414</v>
      </c>
    </row>
    <row r="86" spans="6:11" x14ac:dyDescent="0.3">
      <c r="F86" s="76"/>
      <c r="H86" s="76" t="str">
        <f t="shared" si="4"/>
        <v>390_Europe_inf</v>
      </c>
      <c r="I86">
        <v>390</v>
      </c>
      <c r="J86">
        <v>4.9041479450826397</v>
      </c>
      <c r="K86" s="76" t="s">
        <v>415</v>
      </c>
    </row>
  </sheetData>
  <sortState ref="A3:A30">
    <sortCondition ref="A3"/>
  </sortState>
  <mergeCells count="10">
    <mergeCell ref="U3:U5"/>
    <mergeCell ref="V3:V5"/>
    <mergeCell ref="W3:X4"/>
    <mergeCell ref="R6:X6"/>
    <mergeCell ref="M3:M6"/>
    <mergeCell ref="N3:N6"/>
    <mergeCell ref="O3:O6"/>
    <mergeCell ref="P3:P6"/>
    <mergeCell ref="Q3:Q6"/>
    <mergeCell ref="R3:T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Title sheet</vt:lpstr>
      <vt:lpstr>Practices captured_details</vt:lpstr>
      <vt:lpstr>Categories</vt:lpstr>
      <vt:lpstr>Reporting quality (table 2)</vt:lpstr>
      <vt:lpstr>Practices captured (fig S1)</vt:lpstr>
      <vt:lpstr>Estimates (table 1)</vt:lpstr>
      <vt:lpstr>Model validations (fig S2 S3)</vt:lpstr>
      <vt:lpstr>Cover_crops</vt:lpstr>
      <vt:lpstr>Afforestation potential</vt:lpstr>
      <vt:lpstr>SD_IEF_CLCL</vt:lpstr>
      <vt:lpstr>Area_CLCL</vt:lpstr>
      <vt:lpstr>SD_IEF_GLGL</vt:lpstr>
      <vt:lpstr>Area_GLGL</vt:lpstr>
      <vt:lpstr>SD_IEF_FLFL</vt:lpstr>
      <vt:lpstr>Area_FLFL</vt:lpstr>
      <vt:lpstr>Area_WLWL</vt:lpstr>
      <vt:lpstr>Area_CRFII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2021-08-25T13:15:44Z</dcterms:created>
  <dcterms:modified xsi:type="dcterms:W3CDTF">2023-01-18T13:13:23Z</dcterms:modified>
  <cp:category/>
  <cp:contentStatus/>
</cp:coreProperties>
</file>